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Kathryn\Documents\GitHub\Earthquakes\"/>
    </mc:Choice>
  </mc:AlternateContent>
  <xr:revisionPtr revIDLastSave="0" documentId="13_ncr:1_{60B62334-87EF-4795-8C26-6C5953DD93C6}" xr6:coauthVersionLast="45" xr6:coauthVersionMax="45" xr10:uidLastSave="{00000000-0000-0000-0000-000000000000}"/>
  <bookViews>
    <workbookView xWindow="10944" yWindow="1344" windowWidth="9600" windowHeight="8496" firstSheet="2" activeTab="7" xr2:uid="{BBFCF5E5-051F-4D38-9B5E-2F8A52325E12}"/>
    <workbookView xWindow="11046" yWindow="1518" windowWidth="9600" windowHeight="8496" firstSheet="3" activeTab="8" xr2:uid="{2DFACC16-4C30-41DC-AF4C-0890DF8312FE}"/>
  </bookViews>
  <sheets>
    <sheet name="Legend" sheetId="10" r:id="rId1"/>
    <sheet name="2013" sheetId="9" r:id="rId2"/>
    <sheet name="2014" sheetId="8" r:id="rId3"/>
    <sheet name="2015" sheetId="7" r:id="rId4"/>
    <sheet name="2016" sheetId="6" r:id="rId5"/>
    <sheet name="2017" sheetId="5" r:id="rId6"/>
    <sheet name="2018" sheetId="4" r:id="rId7"/>
    <sheet name="2019" sheetId="3" r:id="rId8"/>
    <sheet name="2020" sheetId="2" r:id="rId9"/>
  </sheets>
  <externalReferences>
    <externalReference r:id="rId10"/>
    <externalReference r:id="rId11"/>
    <externalReference r:id="rId12"/>
    <externalReference r:id="rId13"/>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40" i="10" l="1"/>
  <c r="C39" i="10"/>
  <c r="C38" i="10"/>
  <c r="C37" i="10"/>
  <c r="C36" i="10"/>
  <c r="C35" i="10"/>
  <c r="C34" i="10"/>
  <c r="C33" i="10"/>
  <c r="C14" i="10"/>
  <c r="C12" i="10"/>
  <c r="C10" i="10"/>
  <c r="C8" i="10"/>
  <c r="C6" i="10"/>
  <c r="C16" i="10" s="1"/>
  <c r="A46" i="10"/>
  <c r="A45" i="10"/>
  <c r="A44" i="10"/>
  <c r="A43" i="10"/>
  <c r="A42" i="10"/>
  <c r="A41" i="10"/>
  <c r="A40" i="10"/>
  <c r="A39" i="10"/>
  <c r="A29" i="10"/>
  <c r="A27" i="10"/>
  <c r="B369" i="8"/>
  <c r="B368" i="8"/>
  <c r="B366" i="8"/>
  <c r="B364" i="8"/>
  <c r="B363" i="8"/>
  <c r="B362" i="8"/>
  <c r="B360" i="8"/>
  <c r="B359" i="8"/>
  <c r="B358" i="8"/>
  <c r="B357" i="8"/>
  <c r="B356" i="8"/>
  <c r="B355" i="8"/>
  <c r="B354" i="8"/>
  <c r="B353" i="8"/>
  <c r="B352" i="8"/>
  <c r="B351" i="8"/>
  <c r="B350" i="8"/>
  <c r="B349" i="8"/>
  <c r="B348" i="8"/>
  <c r="B347" i="8"/>
  <c r="B346" i="8"/>
  <c r="B345" i="8"/>
  <c r="B344" i="8"/>
  <c r="B343" i="8"/>
  <c r="B342" i="8"/>
  <c r="B340" i="8"/>
  <c r="B339" i="8"/>
  <c r="B338" i="8"/>
  <c r="B337" i="8"/>
  <c r="B336" i="8"/>
  <c r="B335" i="8"/>
  <c r="B334" i="8"/>
  <c r="B333" i="8"/>
  <c r="B332" i="8"/>
  <c r="B330" i="8"/>
  <c r="B329" i="8"/>
  <c r="B328" i="8"/>
  <c r="B327" i="8"/>
  <c r="B326" i="8"/>
  <c r="B325" i="8"/>
  <c r="B324" i="8"/>
  <c r="B323" i="8"/>
  <c r="B322" i="8"/>
  <c r="B321" i="8"/>
  <c r="B320" i="8"/>
  <c r="B319" i="8"/>
  <c r="B318" i="8"/>
  <c r="B317" i="8"/>
  <c r="B316" i="8"/>
  <c r="B315" i="8"/>
  <c r="B314" i="8"/>
  <c r="B313" i="8"/>
  <c r="B312" i="8"/>
  <c r="B311" i="8"/>
  <c r="B310" i="8"/>
  <c r="B309" i="8"/>
  <c r="B308" i="8"/>
  <c r="B307" i="8"/>
  <c r="B306" i="8"/>
  <c r="B305" i="8"/>
  <c r="B304" i="8"/>
  <c r="B303" i="8"/>
  <c r="B302" i="8"/>
  <c r="B301" i="8"/>
  <c r="B300" i="8"/>
  <c r="B299" i="8"/>
  <c r="B298" i="8"/>
  <c r="B297" i="8"/>
  <c r="B296" i="8"/>
  <c r="B295" i="8"/>
  <c r="B294" i="8"/>
  <c r="B293" i="8"/>
  <c r="B292" i="8"/>
  <c r="B291" i="8"/>
  <c r="B290" i="8"/>
  <c r="B289" i="8"/>
  <c r="B288" i="8"/>
  <c r="B287" i="8"/>
  <c r="B286" i="8"/>
  <c r="B285" i="8"/>
  <c r="B284" i="8"/>
  <c r="B283" i="8"/>
  <c r="B282" i="8"/>
  <c r="B281" i="8"/>
  <c r="B280" i="8"/>
  <c r="B279" i="8"/>
  <c r="B278" i="8"/>
  <c r="B277" i="8"/>
  <c r="B276" i="8"/>
  <c r="B275" i="8"/>
  <c r="B274" i="8"/>
  <c r="B273" i="8"/>
  <c r="B272" i="8"/>
  <c r="B271" i="8"/>
  <c r="B270" i="8"/>
  <c r="B269" i="8"/>
  <c r="B267" i="8"/>
  <c r="B266" i="8"/>
  <c r="B265" i="8"/>
  <c r="B264" i="8"/>
  <c r="B263" i="8"/>
  <c r="B262" i="8"/>
  <c r="B261" i="8"/>
  <c r="B260" i="8"/>
  <c r="B259" i="8"/>
  <c r="B258" i="8"/>
  <c r="B257" i="8"/>
  <c r="B256" i="8"/>
  <c r="B255" i="8"/>
  <c r="B254" i="8"/>
  <c r="B253" i="8"/>
  <c r="B252" i="8"/>
  <c r="B251" i="8"/>
  <c r="B250" i="8"/>
  <c r="B248" i="8"/>
  <c r="B247" i="8"/>
  <c r="B246" i="8"/>
  <c r="B245" i="8"/>
  <c r="B244" i="8"/>
  <c r="B243" i="8"/>
  <c r="B242" i="8"/>
  <c r="B241" i="8"/>
  <c r="B239" i="8"/>
  <c r="B238" i="8"/>
  <c r="B237" i="8"/>
  <c r="B236" i="8"/>
  <c r="B235" i="8"/>
  <c r="B234" i="8"/>
  <c r="B233" i="8"/>
  <c r="B232" i="8"/>
  <c r="B231" i="8"/>
  <c r="B230" i="8"/>
  <c r="B228" i="8"/>
  <c r="B227" i="8"/>
  <c r="B225" i="8"/>
  <c r="B224" i="8"/>
  <c r="B223" i="8"/>
  <c r="B221" i="8"/>
  <c r="B219" i="8"/>
  <c r="B218" i="8"/>
  <c r="B217" i="8"/>
  <c r="B216" i="8"/>
  <c r="B214" i="8"/>
  <c r="B211" i="8"/>
  <c r="B210" i="8"/>
  <c r="B208" i="8"/>
  <c r="B207" i="8"/>
  <c r="B206" i="8"/>
  <c r="B205" i="8"/>
  <c r="B204" i="8"/>
  <c r="B203" i="8"/>
  <c r="B202" i="8"/>
  <c r="B201" i="8"/>
  <c r="B200" i="8"/>
  <c r="B199" i="8"/>
  <c r="B198" i="8"/>
  <c r="B197" i="8"/>
  <c r="B196" i="8"/>
  <c r="B195" i="8"/>
  <c r="B194" i="8"/>
  <c r="B192" i="8"/>
  <c r="B191" i="8"/>
  <c r="B190" i="8"/>
  <c r="B189" i="8"/>
  <c r="B187" i="8"/>
  <c r="B186" i="8"/>
  <c r="B184" i="8"/>
  <c r="B183" i="8"/>
  <c r="B181" i="8"/>
  <c r="B180" i="8"/>
  <c r="B179" i="8"/>
  <c r="B178" i="8"/>
  <c r="B177" i="8"/>
  <c r="B175" i="8"/>
  <c r="B174" i="8"/>
  <c r="B173" i="8"/>
  <c r="B172" i="8"/>
  <c r="B171" i="8"/>
  <c r="B170" i="8"/>
  <c r="B169" i="8"/>
  <c r="B168" i="8"/>
  <c r="B167" i="8"/>
  <c r="B166" i="8"/>
  <c r="B165" i="8"/>
  <c r="B164" i="8"/>
  <c r="B163" i="8"/>
  <c r="B162" i="8"/>
  <c r="B161" i="8"/>
  <c r="B160" i="8"/>
  <c r="B159" i="8"/>
  <c r="B158" i="8"/>
  <c r="B157" i="8"/>
  <c r="B155" i="8"/>
  <c r="B154" i="8"/>
  <c r="B150" i="8"/>
  <c r="B149" i="8"/>
  <c r="B148" i="8"/>
  <c r="B146" i="8"/>
  <c r="B145" i="8"/>
  <c r="B143" i="8"/>
  <c r="B142" i="8"/>
  <c r="B139" i="8"/>
  <c r="B138" i="8"/>
  <c r="B137" i="8"/>
  <c r="B136" i="8"/>
  <c r="B134" i="8"/>
  <c r="B133" i="8"/>
  <c r="B132" i="8"/>
  <c r="B129" i="8"/>
  <c r="B128" i="8"/>
  <c r="B127" i="8"/>
  <c r="B126" i="8"/>
  <c r="B125" i="8"/>
  <c r="B124" i="8"/>
  <c r="B123" i="8"/>
  <c r="B122" i="8"/>
  <c r="B121" i="8"/>
  <c r="B120" i="8"/>
  <c r="B119" i="8"/>
  <c r="B118" i="8"/>
  <c r="B117" i="8"/>
  <c r="B116" i="8"/>
  <c r="B115" i="8"/>
  <c r="B114" i="8"/>
  <c r="B113" i="8"/>
  <c r="B112" i="8"/>
  <c r="B111" i="8"/>
  <c r="B110" i="8"/>
  <c r="B108" i="8"/>
  <c r="B106" i="8"/>
  <c r="B105" i="8"/>
  <c r="B104" i="8"/>
  <c r="B103" i="8"/>
  <c r="B102" i="8"/>
  <c r="B101" i="8"/>
  <c r="B100" i="8"/>
  <c r="B99" i="8"/>
  <c r="B98" i="8"/>
  <c r="B97" i="8"/>
  <c r="B96" i="8"/>
  <c r="B95" i="8"/>
  <c r="B94" i="8"/>
  <c r="B93" i="8"/>
  <c r="B92" i="8"/>
  <c r="B91" i="8"/>
  <c r="B90" i="8"/>
  <c r="B89" i="8"/>
  <c r="B88" i="8"/>
  <c r="B87" i="8"/>
  <c r="B86" i="8"/>
  <c r="B85" i="8"/>
  <c r="B83" i="8"/>
  <c r="B82" i="8"/>
  <c r="B81" i="8"/>
  <c r="B80" i="8"/>
  <c r="B79" i="8"/>
  <c r="B78" i="8"/>
  <c r="B77" i="8"/>
  <c r="B76" i="8"/>
  <c r="B74" i="8"/>
  <c r="B73" i="8"/>
  <c r="B72" i="8"/>
  <c r="B71" i="8"/>
  <c r="B70" i="8"/>
  <c r="B69" i="8"/>
  <c r="B68" i="8"/>
  <c r="B66" i="8"/>
  <c r="B64" i="8"/>
  <c r="B63" i="8"/>
  <c r="B62" i="8"/>
  <c r="B61" i="8"/>
  <c r="B60" i="8"/>
  <c r="B59" i="8"/>
  <c r="B57" i="8"/>
  <c r="B56" i="8"/>
  <c r="B54" i="8"/>
  <c r="B53" i="8"/>
  <c r="B51" i="8"/>
  <c r="B50" i="8"/>
  <c r="B48" i="8"/>
  <c r="B47" i="8"/>
  <c r="B46" i="8"/>
  <c r="B45" i="8"/>
  <c r="B44" i="8"/>
  <c r="B43" i="8"/>
  <c r="B42" i="8"/>
  <c r="B41" i="8"/>
  <c r="B39" i="8"/>
  <c r="B38" i="8"/>
  <c r="B37" i="8"/>
  <c r="B36" i="8"/>
  <c r="B35" i="8"/>
  <c r="B34" i="8"/>
  <c r="B33" i="8"/>
  <c r="B32" i="8"/>
  <c r="B31" i="8"/>
  <c r="B30" i="8"/>
  <c r="B28" i="8"/>
  <c r="B27" i="8"/>
  <c r="B25" i="8"/>
  <c r="B24" i="8"/>
  <c r="B23" i="8"/>
  <c r="B22" i="8"/>
  <c r="B21" i="8"/>
  <c r="B20" i="8"/>
  <c r="B17" i="8"/>
  <c r="B16" i="8"/>
  <c r="B15" i="8"/>
  <c r="B14" i="8"/>
  <c r="B13" i="8"/>
  <c r="B11" i="8"/>
  <c r="B10" i="8"/>
  <c r="B9" i="8"/>
  <c r="B7" i="8"/>
  <c r="B5" i="8"/>
  <c r="B4" i="8"/>
  <c r="B3" i="8"/>
  <c r="B2" i="8"/>
  <c r="G351" i="7"/>
  <c r="B351" i="7"/>
  <c r="B334" i="7"/>
  <c r="B333" i="7"/>
  <c r="B332" i="7"/>
  <c r="I331" i="7"/>
  <c r="B331" i="7"/>
  <c r="B330" i="7"/>
  <c r="B329" i="7"/>
  <c r="B328" i="7"/>
  <c r="B327" i="7"/>
  <c r="B326" i="7"/>
  <c r="B325" i="7"/>
  <c r="B324" i="7"/>
  <c r="B323" i="7"/>
  <c r="B322" i="7"/>
  <c r="B321" i="7"/>
  <c r="B320" i="7"/>
  <c r="B318" i="7"/>
  <c r="B317" i="7"/>
  <c r="B316" i="7"/>
  <c r="B315" i="7"/>
  <c r="B314" i="7"/>
  <c r="B313" i="7"/>
  <c r="B312" i="7"/>
  <c r="B311" i="7"/>
  <c r="B310" i="7"/>
  <c r="B309" i="7"/>
  <c r="I308" i="7"/>
  <c r="B308" i="7"/>
  <c r="B307" i="7"/>
  <c r="B306" i="7"/>
  <c r="B305" i="7"/>
  <c r="B304" i="7"/>
  <c r="B303" i="7"/>
  <c r="B302" i="7"/>
  <c r="B301" i="7"/>
  <c r="B300" i="7"/>
  <c r="B299" i="7"/>
  <c r="B298" i="7"/>
  <c r="B297" i="7"/>
  <c r="B296" i="7"/>
  <c r="B295" i="7"/>
  <c r="B294" i="7"/>
  <c r="B293" i="7"/>
  <c r="B292" i="7"/>
  <c r="B291" i="7"/>
  <c r="B290" i="7"/>
  <c r="B289" i="7"/>
  <c r="B288" i="7"/>
  <c r="B287" i="7"/>
  <c r="B286" i="7"/>
  <c r="B285" i="7"/>
  <c r="B284" i="7"/>
  <c r="B283" i="7"/>
  <c r="J282" i="7"/>
  <c r="I282" i="7"/>
  <c r="G282" i="7"/>
  <c r="F282" i="7"/>
  <c r="B282" i="7"/>
  <c r="B281" i="7"/>
  <c r="B280" i="7"/>
  <c r="B279" i="7"/>
  <c r="B278" i="7"/>
  <c r="B277" i="7"/>
  <c r="B276" i="7"/>
  <c r="B275" i="7"/>
  <c r="B274" i="7"/>
  <c r="B273" i="7"/>
  <c r="B272" i="7"/>
  <c r="B271" i="7"/>
  <c r="B270" i="7"/>
  <c r="B269" i="7"/>
  <c r="B268" i="7"/>
  <c r="B267" i="7"/>
  <c r="B266" i="7"/>
  <c r="B265" i="7"/>
  <c r="B264" i="7"/>
  <c r="B263" i="7"/>
  <c r="B262" i="7"/>
  <c r="B261" i="7"/>
  <c r="B260" i="7"/>
  <c r="B259" i="7"/>
  <c r="B258" i="7"/>
  <c r="B257" i="7"/>
  <c r="B256" i="7"/>
  <c r="B255" i="7"/>
  <c r="B254" i="7"/>
  <c r="B253" i="7"/>
  <c r="B252" i="7"/>
  <c r="B251" i="7"/>
  <c r="B250" i="7"/>
  <c r="B249" i="7"/>
  <c r="B248" i="7"/>
  <c r="B247" i="7"/>
  <c r="B246" i="7"/>
  <c r="B245" i="7"/>
  <c r="B212" i="7"/>
  <c r="B211" i="7"/>
  <c r="B210" i="7"/>
  <c r="B209" i="7"/>
  <c r="B208" i="7"/>
  <c r="B207" i="7"/>
  <c r="B206" i="7"/>
  <c r="B204" i="7"/>
  <c r="B202" i="7"/>
  <c r="B201" i="7"/>
  <c r="B200" i="7"/>
  <c r="B199" i="7"/>
  <c r="B198" i="7"/>
  <c r="B197" i="7"/>
  <c r="B196" i="7"/>
  <c r="B195" i="7"/>
  <c r="B194" i="7"/>
  <c r="B186" i="7"/>
  <c r="B173" i="7"/>
  <c r="B157" i="7"/>
  <c r="B156" i="7"/>
  <c r="B155" i="7"/>
  <c r="B153" i="7"/>
  <c r="B152" i="7"/>
  <c r="B151" i="7"/>
  <c r="B150" i="7"/>
  <c r="B149" i="7"/>
  <c r="B148" i="7"/>
  <c r="B146" i="7"/>
  <c r="B144" i="7"/>
  <c r="B143" i="7"/>
  <c r="B142" i="7"/>
  <c r="B141" i="7"/>
  <c r="B140" i="7"/>
  <c r="B139" i="7"/>
  <c r="B138" i="7"/>
  <c r="B137" i="7"/>
  <c r="B136" i="7"/>
  <c r="B134" i="7"/>
  <c r="B132" i="7"/>
  <c r="B131" i="7"/>
  <c r="B130" i="7"/>
  <c r="B129" i="7"/>
  <c r="B128" i="7"/>
  <c r="B127" i="7"/>
  <c r="B126" i="7"/>
  <c r="B125" i="7"/>
  <c r="B124" i="7"/>
  <c r="B123" i="7"/>
  <c r="B122" i="7"/>
  <c r="B121" i="7"/>
  <c r="B120" i="7"/>
  <c r="B119" i="7"/>
  <c r="B118" i="7"/>
  <c r="B117" i="7"/>
  <c r="B116" i="7"/>
  <c r="B115" i="7"/>
  <c r="B114" i="7"/>
  <c r="B113" i="7"/>
  <c r="B112" i="7"/>
  <c r="B111" i="7"/>
  <c r="B110" i="7"/>
  <c r="B109" i="7"/>
  <c r="B108" i="7"/>
  <c r="B107" i="7"/>
  <c r="B106" i="7"/>
  <c r="B105" i="7"/>
  <c r="B104" i="7"/>
  <c r="B103" i="7"/>
  <c r="B102" i="7"/>
  <c r="B101" i="7"/>
  <c r="B100" i="7"/>
  <c r="B99" i="7"/>
  <c r="B98" i="7"/>
  <c r="B97" i="7"/>
  <c r="B87" i="7"/>
  <c r="B85" i="7"/>
  <c r="B66" i="7"/>
  <c r="B55" i="7"/>
  <c r="B54" i="7"/>
  <c r="B53" i="7"/>
  <c r="B51" i="7"/>
  <c r="B50" i="7"/>
  <c r="B49" i="7"/>
  <c r="B48" i="7"/>
  <c r="B45" i="7"/>
  <c r="B44" i="7"/>
  <c r="B43" i="7"/>
  <c r="B42" i="7"/>
  <c r="B41" i="7"/>
  <c r="B40" i="7"/>
  <c r="B39" i="7"/>
  <c r="B38" i="7"/>
  <c r="B36" i="7"/>
  <c r="B35" i="7"/>
  <c r="B34" i="7"/>
  <c r="B33" i="7"/>
  <c r="B32" i="7"/>
  <c r="B31" i="7"/>
  <c r="B29" i="7"/>
  <c r="B28" i="7"/>
  <c r="B27" i="7"/>
  <c r="B25" i="7"/>
  <c r="B24" i="7"/>
  <c r="B23" i="7"/>
  <c r="B22" i="7"/>
  <c r="B21" i="7"/>
  <c r="B20" i="7"/>
  <c r="B19" i="7"/>
  <c r="B18" i="7"/>
  <c r="B17" i="7"/>
  <c r="B16" i="7"/>
  <c r="B15" i="7"/>
  <c r="B14" i="7"/>
  <c r="B13" i="7"/>
  <c r="B12" i="7"/>
  <c r="B11" i="7"/>
  <c r="B10" i="7"/>
  <c r="B9" i="7"/>
  <c r="B8" i="7"/>
  <c r="B7" i="7"/>
  <c r="B6" i="7"/>
  <c r="B5" i="7"/>
  <c r="B4" i="7"/>
  <c r="B3" i="7"/>
  <c r="B2" i="7"/>
  <c r="B55" i="6"/>
  <c r="K6" i="6"/>
  <c r="J6" i="6"/>
  <c r="J2" i="5"/>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I63" i="5"/>
  <c r="K63" i="5"/>
  <c r="L63" i="5"/>
  <c r="J64" i="5"/>
  <c r="J65" i="5"/>
  <c r="J66" i="5"/>
  <c r="J67" i="5"/>
  <c r="J68" i="5"/>
  <c r="J69" i="5"/>
  <c r="J70" i="5"/>
  <c r="J71" i="5"/>
  <c r="J72" i="5"/>
  <c r="J73" i="5"/>
  <c r="J74" i="5"/>
  <c r="J75" i="5"/>
  <c r="J76" i="5"/>
  <c r="J77" i="5"/>
  <c r="J78" i="5"/>
  <c r="J79" i="5"/>
  <c r="J80" i="5"/>
  <c r="J81" i="5"/>
  <c r="J82" i="5"/>
  <c r="J83" i="5"/>
  <c r="J84" i="5"/>
  <c r="K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K113" i="5"/>
  <c r="J113" i="5" s="1"/>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7" i="5"/>
  <c r="J208" i="5"/>
  <c r="J209" i="5"/>
  <c r="J210" i="5"/>
  <c r="J211" i="5"/>
  <c r="J212" i="5"/>
  <c r="J213" i="5"/>
  <c r="J214" i="5"/>
  <c r="J215" i="5"/>
  <c r="J216" i="5"/>
  <c r="J217" i="5"/>
  <c r="J218" i="5"/>
  <c r="J219" i="5"/>
  <c r="J220" i="5"/>
  <c r="J221" i="5"/>
  <c r="J222" i="5"/>
  <c r="J223" i="5"/>
  <c r="J224" i="5"/>
  <c r="J225" i="5"/>
  <c r="J226" i="5"/>
  <c r="J227" i="5"/>
  <c r="J228" i="5"/>
  <c r="J229" i="5"/>
  <c r="J230" i="5"/>
  <c r="J231" i="5"/>
  <c r="J232" i="5"/>
  <c r="J233" i="5"/>
  <c r="J234" i="5"/>
  <c r="J235" i="5"/>
  <c r="J236" i="5"/>
  <c r="H237" i="5"/>
  <c r="J238" i="5"/>
  <c r="J239" i="5"/>
  <c r="J240" i="5"/>
  <c r="J241" i="5"/>
  <c r="J242" i="5"/>
  <c r="J243" i="5"/>
  <c r="J244" i="5"/>
  <c r="J245" i="5"/>
  <c r="J246" i="5"/>
  <c r="J247" i="5"/>
  <c r="J248" i="5"/>
  <c r="J249" i="5"/>
  <c r="J250" i="5"/>
  <c r="J251" i="5"/>
  <c r="J252" i="5"/>
  <c r="J253" i="5"/>
  <c r="J254" i="5"/>
  <c r="J255" i="5"/>
  <c r="J256" i="5"/>
  <c r="J257" i="5"/>
  <c r="J258" i="5"/>
  <c r="J259" i="5"/>
  <c r="J260" i="5"/>
  <c r="J261" i="5"/>
  <c r="J262" i="5"/>
  <c r="J263" i="5"/>
  <c r="J264" i="5"/>
  <c r="J265" i="5"/>
  <c r="J266" i="5"/>
  <c r="J267" i="5"/>
  <c r="J268" i="5"/>
  <c r="J269" i="5"/>
  <c r="J270" i="5"/>
  <c r="J271" i="5"/>
  <c r="J272" i="5"/>
  <c r="J273" i="5"/>
  <c r="J274" i="5"/>
  <c r="J275" i="5"/>
  <c r="J276" i="5"/>
  <c r="J277" i="5"/>
  <c r="J278" i="5"/>
  <c r="J279" i="5"/>
  <c r="J280" i="5"/>
  <c r="L323" i="4"/>
  <c r="L322" i="4"/>
  <c r="L321" i="4"/>
  <c r="L320" i="4"/>
  <c r="L319" i="4"/>
  <c r="L318" i="4"/>
  <c r="L317" i="4"/>
  <c r="L316" i="4"/>
  <c r="L315" i="4"/>
  <c r="L314" i="4"/>
  <c r="L313" i="4"/>
  <c r="L312" i="4"/>
  <c r="L311" i="4"/>
  <c r="L310" i="4"/>
  <c r="L309" i="4"/>
  <c r="L308" i="4"/>
  <c r="L307" i="4"/>
  <c r="L306" i="4"/>
  <c r="L305" i="4"/>
  <c r="L304" i="4"/>
  <c r="L303" i="4"/>
  <c r="L302" i="4"/>
  <c r="L301" i="4"/>
  <c r="L300" i="4"/>
  <c r="L299" i="4"/>
  <c r="L298" i="4"/>
  <c r="L297" i="4"/>
  <c r="L296" i="4"/>
  <c r="L295" i="4"/>
  <c r="L294" i="4"/>
  <c r="L293" i="4"/>
  <c r="L292" i="4"/>
  <c r="L291" i="4"/>
  <c r="L290" i="4"/>
  <c r="L289" i="4"/>
  <c r="L288" i="4"/>
  <c r="L287" i="4"/>
  <c r="L286" i="4"/>
  <c r="L285" i="4"/>
  <c r="L284" i="4"/>
  <c r="L283" i="4"/>
  <c r="L282" i="4"/>
  <c r="L281" i="4"/>
  <c r="L280" i="4"/>
  <c r="L279" i="4"/>
  <c r="L278" i="4"/>
  <c r="L277" i="4"/>
  <c r="L276" i="4"/>
  <c r="L275" i="4"/>
  <c r="L274" i="4"/>
  <c r="L273" i="4"/>
  <c r="L272" i="4"/>
  <c r="L271" i="4"/>
  <c r="L270" i="4"/>
  <c r="L269" i="4"/>
  <c r="L268" i="4"/>
  <c r="L267" i="4"/>
  <c r="L266" i="4"/>
  <c r="L265" i="4"/>
  <c r="L264" i="4"/>
  <c r="L263" i="4"/>
  <c r="L262" i="4"/>
  <c r="L261" i="4"/>
  <c r="L260" i="4"/>
  <c r="L259" i="4"/>
  <c r="L258" i="4"/>
  <c r="L257" i="4"/>
  <c r="L256" i="4"/>
  <c r="L255" i="4"/>
  <c r="L254" i="4"/>
  <c r="L253" i="4"/>
  <c r="L252" i="4"/>
  <c r="L251" i="4"/>
  <c r="L250" i="4"/>
  <c r="L249" i="4"/>
  <c r="L248" i="4"/>
  <c r="L247" i="4"/>
  <c r="L246" i="4"/>
  <c r="N245" i="4"/>
  <c r="M245" i="4"/>
  <c r="L244" i="4"/>
  <c r="L243" i="4"/>
  <c r="L242" i="4"/>
  <c r="L241" i="4"/>
  <c r="L240" i="4"/>
  <c r="L239" i="4"/>
  <c r="L238" i="4"/>
  <c r="L237" i="4"/>
  <c r="L236" i="4"/>
  <c r="L235" i="4"/>
  <c r="L234" i="4"/>
  <c r="L233" i="4"/>
  <c r="E233" i="4"/>
  <c r="L232" i="4"/>
  <c r="E232" i="4"/>
  <c r="L231" i="4"/>
  <c r="E231" i="4"/>
  <c r="L230" i="4"/>
  <c r="E230" i="4"/>
  <c r="L229" i="4"/>
  <c r="E229" i="4"/>
  <c r="L228" i="4"/>
  <c r="L227" i="4"/>
  <c r="M226" i="4"/>
  <c r="L225" i="4"/>
  <c r="L224" i="4"/>
  <c r="E224" i="4"/>
  <c r="L223" i="4"/>
  <c r="L222" i="4"/>
  <c r="L221" i="4"/>
  <c r="L220" i="4"/>
  <c r="L219" i="4"/>
  <c r="E219" i="4"/>
  <c r="L218" i="4"/>
  <c r="L217" i="4"/>
  <c r="L216" i="4"/>
  <c r="L215" i="4"/>
  <c r="L214" i="4"/>
  <c r="L213" i="4"/>
  <c r="L212" i="4"/>
  <c r="L211" i="4"/>
  <c r="L210" i="4"/>
  <c r="L209" i="4"/>
  <c r="L208" i="4"/>
  <c r="L207" i="4"/>
  <c r="E207" i="4"/>
  <c r="L206" i="4"/>
  <c r="E206" i="4"/>
  <c r="L205" i="4"/>
  <c r="E205" i="4"/>
  <c r="L204" i="4"/>
  <c r="L203" i="4"/>
  <c r="L202" i="4"/>
  <c r="L201" i="4"/>
  <c r="L200" i="4"/>
  <c r="L199" i="4"/>
  <c r="L198" i="4"/>
  <c r="L197" i="4"/>
  <c r="E197" i="4"/>
  <c r="L196" i="4"/>
  <c r="E196" i="4"/>
  <c r="L195" i="4"/>
  <c r="E195" i="4"/>
  <c r="L194" i="4"/>
  <c r="E194" i="4"/>
  <c r="L193" i="4"/>
  <c r="E193" i="4"/>
  <c r="L192" i="4"/>
  <c r="L191" i="4"/>
  <c r="E191" i="4"/>
  <c r="L190" i="4"/>
  <c r="L189" i="4"/>
  <c r="L188" i="4"/>
  <c r="E188" i="4"/>
  <c r="L187" i="4"/>
  <c r="L186" i="4"/>
  <c r="L185" i="4"/>
  <c r="L184" i="4"/>
  <c r="E184" i="4"/>
  <c r="L183" i="4"/>
  <c r="L182" i="4"/>
  <c r="E182" i="4"/>
  <c r="L181" i="4"/>
  <c r="L180" i="4"/>
  <c r="E180" i="4"/>
  <c r="L179" i="4"/>
  <c r="L178" i="4"/>
  <c r="E178" i="4"/>
  <c r="L177" i="4"/>
  <c r="E177" i="4"/>
  <c r="L176" i="4"/>
  <c r="L175" i="4"/>
  <c r="L174" i="4"/>
  <c r="L173" i="4"/>
  <c r="L172" i="4"/>
  <c r="L171" i="4"/>
  <c r="L170" i="4"/>
  <c r="L169" i="4"/>
  <c r="L168" i="4"/>
  <c r="L167" i="4"/>
  <c r="L166" i="4"/>
  <c r="L165" i="4"/>
  <c r="L164" i="4"/>
  <c r="L163" i="4"/>
  <c r="L162" i="4"/>
  <c r="L161" i="4"/>
  <c r="L160" i="4"/>
  <c r="L159" i="4"/>
  <c r="L158" i="4"/>
  <c r="L157" i="4"/>
  <c r="L156" i="4"/>
  <c r="L155" i="4"/>
  <c r="L154" i="4"/>
  <c r="L153" i="4"/>
  <c r="L152" i="4"/>
  <c r="L151" i="4"/>
  <c r="L150" i="4"/>
  <c r="L149" i="4"/>
  <c r="L148" i="4"/>
  <c r="L147" i="4"/>
  <c r="L146" i="4"/>
  <c r="L145" i="4"/>
  <c r="E145" i="4"/>
  <c r="L144" i="4"/>
  <c r="L143" i="4"/>
  <c r="L142" i="4"/>
  <c r="E142" i="4"/>
  <c r="L141" i="4"/>
  <c r="L140" i="4"/>
  <c r="L139" i="4"/>
  <c r="E139" i="4"/>
  <c r="L138" i="4"/>
  <c r="L137" i="4"/>
  <c r="E137" i="4"/>
  <c r="L136" i="4"/>
  <c r="L135" i="4"/>
  <c r="L134" i="4"/>
  <c r="E134" i="4"/>
  <c r="L133" i="4"/>
  <c r="E133" i="4"/>
  <c r="L132" i="4"/>
  <c r="E132" i="4"/>
  <c r="L131" i="4"/>
  <c r="E131" i="4"/>
  <c r="L130" i="4"/>
  <c r="L129" i="4"/>
  <c r="L128" i="4"/>
  <c r="E128" i="4"/>
  <c r="L127" i="4"/>
  <c r="L126" i="4"/>
  <c r="E126" i="4"/>
  <c r="L125" i="4"/>
  <c r="E125" i="4"/>
  <c r="L124" i="4"/>
  <c r="E124" i="4"/>
  <c r="L123" i="4"/>
  <c r="L122" i="4"/>
  <c r="L121" i="4"/>
  <c r="L120" i="4"/>
  <c r="L119" i="4"/>
  <c r="L118" i="4"/>
  <c r="L117" i="4"/>
  <c r="L116" i="4"/>
  <c r="E116" i="4"/>
  <c r="L115" i="4"/>
  <c r="L114" i="4"/>
  <c r="L113" i="4"/>
  <c r="E113" i="4"/>
  <c r="L112" i="4"/>
  <c r="L111" i="4"/>
  <c r="L110" i="4"/>
  <c r="F110" i="4"/>
  <c r="E110" i="4"/>
  <c r="L109" i="4"/>
  <c r="L108" i="4"/>
  <c r="L107" i="4"/>
  <c r="L106" i="4"/>
  <c r="L105" i="4"/>
  <c r="L104" i="4"/>
  <c r="L103" i="4"/>
  <c r="E103" i="4"/>
  <c r="L102" i="4"/>
  <c r="L101" i="4"/>
  <c r="L100" i="4"/>
  <c r="E100" i="4"/>
  <c r="L99" i="4"/>
  <c r="E99" i="4"/>
  <c r="L98" i="4"/>
  <c r="E98" i="4"/>
  <c r="L97" i="4"/>
  <c r="L96" i="4"/>
  <c r="E96" i="4"/>
  <c r="L95" i="4"/>
  <c r="E95" i="4"/>
  <c r="L94" i="4"/>
  <c r="E94" i="4"/>
  <c r="L93" i="4"/>
  <c r="L92" i="4"/>
  <c r="E92" i="4"/>
  <c r="L91" i="4"/>
  <c r="E91" i="4"/>
  <c r="L90" i="4"/>
  <c r="E90" i="4"/>
  <c r="L89" i="4"/>
  <c r="E89" i="4"/>
  <c r="L88" i="4"/>
  <c r="E88" i="4"/>
  <c r="L87" i="4"/>
  <c r="L86" i="4"/>
  <c r="E86" i="4"/>
  <c r="L85" i="4"/>
  <c r="E85" i="4"/>
  <c r="L84" i="4"/>
  <c r="E84" i="4"/>
  <c r="L83" i="4"/>
  <c r="E83" i="4"/>
  <c r="L82" i="4"/>
  <c r="E82" i="4"/>
  <c r="L81" i="4"/>
  <c r="E81" i="4"/>
  <c r="L80" i="4"/>
  <c r="E80" i="4"/>
  <c r="L79" i="4"/>
  <c r="E79" i="4"/>
  <c r="L78" i="4"/>
  <c r="E78" i="4"/>
  <c r="L77" i="4"/>
  <c r="E77" i="4"/>
  <c r="L76" i="4"/>
  <c r="E76" i="4"/>
  <c r="L75" i="4"/>
  <c r="L74" i="4"/>
  <c r="L73" i="4"/>
  <c r="E73" i="4"/>
  <c r="L72" i="4"/>
  <c r="L71" i="4"/>
  <c r="L70" i="4"/>
  <c r="E70" i="4"/>
  <c r="L69" i="4"/>
  <c r="E69" i="4"/>
  <c r="E68" i="4"/>
  <c r="L67" i="4"/>
  <c r="E67" i="4"/>
  <c r="E66" i="4"/>
  <c r="L65" i="4"/>
  <c r="E64" i="4"/>
  <c r="L63" i="4"/>
  <c r="L62" i="4"/>
  <c r="L61" i="4"/>
  <c r="E61" i="4"/>
  <c r="L60" i="4"/>
  <c r="E60" i="4"/>
  <c r="L59" i="4"/>
  <c r="E59" i="4"/>
  <c r="L58" i="4"/>
  <c r="L57" i="4"/>
  <c r="E57" i="4"/>
  <c r="L56" i="4"/>
  <c r="E56" i="4"/>
  <c r="L55" i="4"/>
  <c r="M54" i="4"/>
  <c r="L54" i="4" s="1"/>
  <c r="L53"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3" i="4"/>
  <c r="L2" i="4"/>
  <c r="N328" i="3"/>
  <c r="N327" i="3"/>
  <c r="N326" i="3"/>
  <c r="N325" i="3"/>
  <c r="N324" i="3"/>
  <c r="N323" i="3"/>
  <c r="N322" i="3"/>
  <c r="N321" i="3"/>
  <c r="N320" i="3"/>
  <c r="N319" i="3"/>
  <c r="N318" i="3"/>
  <c r="N317" i="3"/>
  <c r="P316" i="3"/>
  <c r="O316" i="3"/>
  <c r="M316" i="3"/>
  <c r="L316" i="3"/>
  <c r="K316" i="3"/>
  <c r="N315" i="3"/>
  <c r="N314" i="3"/>
  <c r="N313" i="3"/>
  <c r="N312" i="3"/>
  <c r="N311" i="3"/>
  <c r="N310" i="3"/>
  <c r="N309" i="3"/>
  <c r="N308" i="3"/>
  <c r="N307" i="3"/>
  <c r="N306" i="3"/>
  <c r="N305" i="3"/>
  <c r="N304" i="3"/>
  <c r="N303" i="3"/>
  <c r="N302" i="3"/>
  <c r="N301" i="3"/>
  <c r="N300" i="3"/>
  <c r="N299" i="3"/>
  <c r="N298" i="3"/>
  <c r="N297" i="3"/>
  <c r="N296" i="3"/>
  <c r="N295" i="3"/>
  <c r="P294" i="3"/>
  <c r="O294" i="3"/>
  <c r="M294" i="3"/>
  <c r="L294" i="3"/>
  <c r="K294" i="3"/>
  <c r="N293" i="3"/>
  <c r="N292" i="3"/>
  <c r="N291" i="3"/>
  <c r="P290" i="3"/>
  <c r="O290" i="3"/>
  <c r="M290" i="3"/>
  <c r="L290" i="3"/>
  <c r="K290" i="3"/>
  <c r="N289" i="3"/>
  <c r="N288" i="3"/>
  <c r="N287" i="3"/>
  <c r="N286" i="3"/>
  <c r="N285" i="3"/>
  <c r="N284" i="3"/>
  <c r="N283" i="3"/>
  <c r="N282" i="3"/>
  <c r="N281" i="3"/>
  <c r="N280" i="3"/>
  <c r="N279" i="3"/>
  <c r="N278" i="3"/>
  <c r="N277" i="3"/>
  <c r="N276" i="3"/>
  <c r="N275" i="3"/>
  <c r="N274" i="3"/>
  <c r="N273" i="3"/>
  <c r="N272" i="3"/>
  <c r="N271" i="3"/>
  <c r="N270" i="3"/>
  <c r="N269" i="3"/>
  <c r="N268" i="3"/>
  <c r="N267" i="3"/>
  <c r="N266" i="3"/>
  <c r="N264" i="3"/>
  <c r="N263" i="3"/>
  <c r="N265" i="3" s="1"/>
  <c r="N262" i="3"/>
  <c r="N261" i="3"/>
  <c r="N260" i="3"/>
  <c r="N259" i="3"/>
  <c r="N258" i="3"/>
  <c r="N257" i="3"/>
  <c r="N256" i="3"/>
  <c r="N255" i="3"/>
  <c r="N254" i="3"/>
  <c r="N253" i="3"/>
  <c r="N252" i="3"/>
  <c r="N251" i="3"/>
  <c r="N250" i="3"/>
  <c r="N249" i="3"/>
  <c r="N248" i="3"/>
  <c r="N247" i="3"/>
  <c r="N246" i="3"/>
  <c r="N245" i="3"/>
  <c r="N244" i="3"/>
  <c r="N243" i="3"/>
  <c r="N242" i="3"/>
  <c r="N241" i="3"/>
  <c r="N240" i="3"/>
  <c r="N239" i="3"/>
  <c r="N238" i="3"/>
  <c r="N237" i="3"/>
  <c r="N236" i="3"/>
  <c r="N235" i="3"/>
  <c r="N234" i="3"/>
  <c r="N233" i="3"/>
  <c r="N232" i="3"/>
  <c r="N231" i="3"/>
  <c r="N230" i="3"/>
  <c r="N229" i="3"/>
  <c r="N228" i="3"/>
  <c r="N227" i="3"/>
  <c r="N226" i="3"/>
  <c r="N225" i="3"/>
  <c r="N224" i="3"/>
  <c r="N223" i="3"/>
  <c r="N222" i="3"/>
  <c r="N221" i="3"/>
  <c r="N220" i="3"/>
  <c r="N219" i="3"/>
  <c r="N218" i="3"/>
  <c r="N217" i="3"/>
  <c r="N216" i="3"/>
  <c r="N215" i="3"/>
  <c r="N214" i="3"/>
  <c r="N213" i="3"/>
  <c r="N212" i="3"/>
  <c r="N211" i="3"/>
  <c r="N210" i="3"/>
  <c r="N209" i="3"/>
  <c r="N208" i="3"/>
  <c r="N207" i="3"/>
  <c r="N206" i="3"/>
  <c r="N205" i="3"/>
  <c r="N204" i="3"/>
  <c r="N203" i="3"/>
  <c r="N202" i="3"/>
  <c r="N201" i="3"/>
  <c r="N200" i="3"/>
  <c r="N199" i="3"/>
  <c r="N198" i="3"/>
  <c r="N197" i="3"/>
  <c r="N196" i="3"/>
  <c r="N195" i="3"/>
  <c r="N194" i="3"/>
  <c r="N193" i="3"/>
  <c r="N192" i="3"/>
  <c r="N191" i="3"/>
  <c r="N190" i="3"/>
  <c r="N189" i="3"/>
  <c r="N188" i="3"/>
  <c r="N187" i="3"/>
  <c r="N186" i="3"/>
  <c r="N185" i="3"/>
  <c r="N184" i="3"/>
  <c r="N183" i="3"/>
  <c r="N182" i="3"/>
  <c r="N181" i="3"/>
  <c r="N180" i="3"/>
  <c r="N179" i="3"/>
  <c r="N178" i="3"/>
  <c r="N177" i="3"/>
  <c r="N176" i="3"/>
  <c r="N175" i="3"/>
  <c r="N174" i="3"/>
  <c r="N173" i="3"/>
  <c r="N172" i="3"/>
  <c r="N171" i="3"/>
  <c r="N170" i="3"/>
  <c r="N169" i="3"/>
  <c r="N168" i="3"/>
  <c r="N167" i="3"/>
  <c r="N166" i="3"/>
  <c r="N165" i="3"/>
  <c r="N164" i="3"/>
  <c r="N163" i="3"/>
  <c r="N162" i="3"/>
  <c r="N161" i="3"/>
  <c r="N160" i="3"/>
  <c r="N159" i="3"/>
  <c r="N158" i="3"/>
  <c r="N157" i="3"/>
  <c r="N156" i="3"/>
  <c r="N155" i="3"/>
  <c r="N154" i="3"/>
  <c r="N153" i="3"/>
  <c r="N152" i="3"/>
  <c r="N150" i="3"/>
  <c r="N149" i="3"/>
  <c r="N148" i="3"/>
  <c r="N147" i="3"/>
  <c r="N146" i="3"/>
  <c r="N145" i="3"/>
  <c r="N144" i="3"/>
  <c r="N143" i="3"/>
  <c r="N142" i="3"/>
  <c r="N141" i="3"/>
  <c r="N140" i="3"/>
  <c r="N139" i="3"/>
  <c r="N138" i="3"/>
  <c r="N137" i="3"/>
  <c r="N136" i="3"/>
  <c r="N135" i="3"/>
  <c r="N134" i="3"/>
  <c r="N133" i="3"/>
  <c r="N132" i="3"/>
  <c r="P131" i="3"/>
  <c r="O131" i="3"/>
  <c r="M131" i="3"/>
  <c r="L131" i="3"/>
  <c r="K131" i="3"/>
  <c r="N130" i="3"/>
  <c r="N129" i="3"/>
  <c r="N128" i="3"/>
  <c r="N127" i="3"/>
  <c r="N126" i="3"/>
  <c r="N125" i="3"/>
  <c r="N124" i="3"/>
  <c r="N123" i="3"/>
  <c r="N122" i="3"/>
  <c r="N121" i="3"/>
  <c r="N120" i="3"/>
  <c r="N119" i="3"/>
  <c r="N118" i="3"/>
  <c r="N117" i="3"/>
  <c r="N116" i="3"/>
  <c r="N115" i="3"/>
  <c r="N114" i="3"/>
  <c r="N113" i="3"/>
  <c r="N112" i="3"/>
  <c r="N111" i="3"/>
  <c r="N110" i="3"/>
  <c r="N109" i="3"/>
  <c r="N108" i="3"/>
  <c r="N107" i="3"/>
  <c r="N106" i="3"/>
  <c r="N105" i="3"/>
  <c r="N104" i="3"/>
  <c r="N103" i="3"/>
  <c r="N102" i="3"/>
  <c r="N101" i="3"/>
  <c r="N100" i="3"/>
  <c r="N99" i="3"/>
  <c r="N98" i="3"/>
  <c r="N97" i="3"/>
  <c r="N96" i="3"/>
  <c r="N95" i="3"/>
  <c r="N94" i="3"/>
  <c r="N93" i="3"/>
  <c r="N92" i="3"/>
  <c r="N91" i="3"/>
  <c r="P90" i="3"/>
  <c r="O90" i="3"/>
  <c r="M90" i="3"/>
  <c r="L90" i="3"/>
  <c r="K90" i="3"/>
  <c r="N89" i="3"/>
  <c r="N88" i="3"/>
  <c r="N87" i="3"/>
  <c r="N86" i="3"/>
  <c r="N85" i="3"/>
  <c r="N84" i="3"/>
  <c r="N83" i="3"/>
  <c r="N82" i="3"/>
  <c r="N81" i="3"/>
  <c r="N80" i="3"/>
  <c r="N79" i="3"/>
  <c r="N78" i="3"/>
  <c r="N77" i="3"/>
  <c r="N76" i="3"/>
  <c r="N75" i="3"/>
  <c r="N74" i="3"/>
  <c r="N73" i="3"/>
  <c r="N72" i="3"/>
  <c r="N71" i="3"/>
  <c r="N70" i="3"/>
  <c r="N69" i="3"/>
  <c r="N68" i="3"/>
  <c r="N67" i="3"/>
  <c r="N66" i="3"/>
  <c r="N65" i="3"/>
  <c r="N64" i="3"/>
  <c r="N63" i="3"/>
  <c r="P62" i="3"/>
  <c r="O62" i="3"/>
  <c r="M62" i="3"/>
  <c r="L62" i="3"/>
  <c r="K62" i="3"/>
  <c r="N61" i="3"/>
  <c r="N60" i="3"/>
  <c r="N59" i="3"/>
  <c r="N58" i="3"/>
  <c r="N57" i="3"/>
  <c r="N56" i="3"/>
  <c r="N55" i="3"/>
  <c r="N54" i="3"/>
  <c r="N53" i="3"/>
  <c r="N52" i="3"/>
  <c r="N51" i="3"/>
  <c r="N50" i="3"/>
  <c r="N49" i="3"/>
  <c r="N48" i="3"/>
  <c r="N47" i="3"/>
  <c r="N46" i="3"/>
  <c r="N45" i="3"/>
  <c r="N44" i="3"/>
  <c r="N43" i="3"/>
  <c r="K42" i="3"/>
  <c r="K41" i="3"/>
  <c r="K40" i="3" s="1"/>
  <c r="P38" i="3"/>
  <c r="O38" i="3"/>
  <c r="M38" i="3"/>
  <c r="L38" i="3"/>
  <c r="N37" i="3"/>
  <c r="N36" i="3"/>
  <c r="N35" i="3"/>
  <c r="N34" i="3"/>
  <c r="N33" i="3"/>
  <c r="N32" i="3"/>
  <c r="N31" i="3"/>
  <c r="N30" i="3"/>
  <c r="N29" i="3"/>
  <c r="N28" i="3"/>
  <c r="N27" i="3"/>
  <c r="N26" i="3"/>
  <c r="O25" i="3"/>
  <c r="N25" i="3" s="1"/>
  <c r="N24" i="3"/>
  <c r="N23" i="3"/>
  <c r="N22" i="3"/>
  <c r="N21" i="3"/>
  <c r="N20" i="3"/>
  <c r="N19" i="3"/>
  <c r="N18" i="3"/>
  <c r="N17" i="3"/>
  <c r="N16" i="3"/>
  <c r="N15" i="3"/>
  <c r="N14" i="3"/>
  <c r="N13" i="3"/>
  <c r="N12" i="3"/>
  <c r="N11" i="3"/>
  <c r="N10" i="3"/>
  <c r="N9" i="3"/>
  <c r="N8" i="3"/>
  <c r="N7" i="3"/>
  <c r="N6" i="3"/>
  <c r="N5" i="3"/>
  <c r="N4" i="3"/>
  <c r="N3" i="3"/>
  <c r="N2" i="3"/>
  <c r="N163" i="2"/>
  <c r="N162" i="2"/>
  <c r="N161" i="2"/>
  <c r="N160" i="2"/>
  <c r="N159" i="2"/>
  <c r="N158" i="2"/>
  <c r="N157" i="2"/>
  <c r="N156" i="2"/>
  <c r="N155" i="2"/>
  <c r="N154" i="2"/>
  <c r="N153" i="2"/>
  <c r="N152" i="2"/>
  <c r="N151" i="2"/>
  <c r="N150" i="2"/>
  <c r="N149" i="2"/>
  <c r="N148" i="2"/>
  <c r="N147" i="2"/>
  <c r="N146" i="2"/>
  <c r="N145" i="2"/>
  <c r="N144" i="2"/>
  <c r="N143" i="2"/>
  <c r="N142" i="2"/>
  <c r="N141" i="2"/>
  <c r="N140" i="2"/>
  <c r="N139" i="2"/>
  <c r="N138" i="2"/>
  <c r="N137" i="2"/>
  <c r="N136" i="2"/>
  <c r="N135" i="2"/>
  <c r="N134" i="2"/>
  <c r="N133" i="2"/>
  <c r="N132" i="2"/>
  <c r="N131" i="2"/>
  <c r="N130" i="2"/>
  <c r="N129" i="2"/>
  <c r="N128" i="2"/>
  <c r="N127" i="2"/>
  <c r="N126" i="2"/>
  <c r="N125" i="2"/>
  <c r="N124" i="2"/>
  <c r="N123" i="2"/>
  <c r="N122" i="2"/>
  <c r="N121" i="2"/>
  <c r="N120" i="2"/>
  <c r="N119" i="2"/>
  <c r="N118" i="2"/>
  <c r="N117" i="2"/>
  <c r="N116" i="2"/>
  <c r="N115" i="2"/>
  <c r="N114" i="2"/>
  <c r="N113" i="2"/>
  <c r="N112" i="2"/>
  <c r="N111" i="2"/>
  <c r="N110" i="2"/>
  <c r="N109" i="2"/>
  <c r="N108" i="2"/>
  <c r="N107" i="2"/>
  <c r="N106" i="2"/>
  <c r="N105" i="2"/>
  <c r="N104" i="2"/>
  <c r="N103" i="2"/>
  <c r="N102" i="2"/>
  <c r="N101" i="2"/>
  <c r="N100" i="2"/>
  <c r="N99" i="2"/>
  <c r="N98" i="2"/>
  <c r="N97" i="2"/>
  <c r="N96" i="2"/>
  <c r="N95" i="2"/>
  <c r="N94" i="2"/>
  <c r="N93" i="2"/>
  <c r="N92" i="2"/>
  <c r="N91" i="2"/>
  <c r="N90" i="2"/>
  <c r="N89" i="2"/>
  <c r="N88" i="2"/>
  <c r="N87" i="2"/>
  <c r="N86" i="2"/>
  <c r="N85" i="2"/>
  <c r="N84" i="2"/>
  <c r="N83" i="2"/>
  <c r="N82" i="2"/>
  <c r="N81" i="2"/>
  <c r="N80" i="2"/>
  <c r="N79" i="2"/>
  <c r="N78" i="2"/>
  <c r="N77" i="2"/>
  <c r="N76" i="2"/>
  <c r="N75" i="2"/>
  <c r="N74" i="2"/>
  <c r="N73" i="2"/>
  <c r="N72" i="2"/>
  <c r="N71" i="2"/>
  <c r="N70" i="2"/>
  <c r="N69" i="2"/>
  <c r="N68" i="2"/>
  <c r="N67" i="2"/>
  <c r="N66" i="2"/>
  <c r="N65" i="2"/>
  <c r="N64" i="2"/>
  <c r="N63" i="2"/>
  <c r="N62" i="2"/>
  <c r="O61" i="2"/>
  <c r="N61" i="2" s="1"/>
  <c r="P60" i="2"/>
  <c r="M60" i="2"/>
  <c r="L60" i="2"/>
  <c r="K60" i="2"/>
  <c r="N59" i="2"/>
  <c r="N58" i="2"/>
  <c r="N57" i="2"/>
  <c r="N56" i="2"/>
  <c r="N55" i="2"/>
  <c r="N54" i="2"/>
  <c r="N53" i="2"/>
  <c r="N52" i="2"/>
  <c r="N51" i="2"/>
  <c r="N50" i="2"/>
  <c r="N49" i="2"/>
  <c r="N48" i="2"/>
  <c r="N47" i="2"/>
  <c r="N46" i="2"/>
  <c r="N45" i="2"/>
  <c r="N44" i="2"/>
  <c r="N43" i="2"/>
  <c r="N42" i="2"/>
  <c r="N41" i="2"/>
  <c r="N40" i="2"/>
  <c r="N39" i="2"/>
  <c r="N38" i="2"/>
  <c r="N37" i="2"/>
  <c r="P36" i="2"/>
  <c r="O36" i="2"/>
  <c r="N35" i="2"/>
  <c r="N34" i="2"/>
  <c r="N33" i="2"/>
  <c r="N32" i="2"/>
  <c r="N31" i="2"/>
  <c r="N30" i="2"/>
  <c r="N29" i="2"/>
  <c r="N28" i="2"/>
  <c r="N27" i="2"/>
  <c r="N26" i="2"/>
  <c r="N25" i="2"/>
  <c r="N24" i="2"/>
  <c r="N23" i="2"/>
  <c r="N22" i="2"/>
  <c r="N21" i="2"/>
  <c r="N20" i="2"/>
  <c r="N19" i="2"/>
  <c r="N18" i="2"/>
  <c r="N17" i="2"/>
  <c r="N16" i="2"/>
  <c r="N15" i="2"/>
  <c r="N14" i="2"/>
  <c r="N13" i="2"/>
  <c r="N12" i="2"/>
  <c r="N11" i="2"/>
  <c r="N10" i="2"/>
  <c r="N9" i="2"/>
  <c r="N8" i="2"/>
  <c r="N7" i="2"/>
  <c r="N6" i="2"/>
  <c r="N5" i="2"/>
  <c r="N4" i="2"/>
  <c r="N3" i="2"/>
  <c r="N2" i="2"/>
  <c r="O60" i="2" l="1"/>
  <c r="N36" i="2"/>
  <c r="N316" i="3"/>
  <c r="N90" i="3"/>
  <c r="N131" i="3"/>
  <c r="N294" i="3"/>
  <c r="N62" i="3"/>
  <c r="N42" i="3"/>
  <c r="K39" i="3"/>
  <c r="N41" i="3"/>
  <c r="N290" i="3"/>
  <c r="L226" i="4"/>
  <c r="L245" i="4"/>
  <c r="J237" i="5"/>
  <c r="J85" i="5"/>
  <c r="J63" i="5"/>
  <c r="K38" i="3"/>
  <c r="N39" i="3"/>
  <c r="N40" i="3"/>
  <c r="N60" i="2"/>
  <c r="N38"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3" authorId="0" shapeId="0" xr:uid="{79014807-9397-4EA2-A830-CA0E0FC09BE9}">
      <text>
        <r>
          <rPr>
            <sz val="10"/>
            <color rgb="FF000000"/>
            <rFont val="Arial"/>
          </rPr>
          <t>Examples : Windows broken, cracked and fallen plaster, falling objects, damaged chimneys, garden wall collapsed, landslide without damage or other secondary effects, etc. (in a few cases)</t>
        </r>
      </text>
    </comment>
    <comment ref="A4" authorId="0" shapeId="0" xr:uid="{0135A1B0-7B00-49EB-AF9C-ADD2369E2948}">
      <text>
        <r>
          <rPr>
            <sz val="10"/>
            <color rgb="FF000000"/>
            <rFont val="Arial"/>
          </rPr>
          <t>or extensive non-structural damage. 
Many broken windows / cracked plaser / etc., or
Very few cracked walls or ceilings</t>
        </r>
      </text>
    </comment>
    <comment ref="A5" authorId="0" shapeId="0" xr:uid="{61D76911-5176-4E37-AEBD-B7C61E90C45E}">
      <text>
        <r>
          <rPr>
            <sz val="10"/>
            <color rgb="FF000000"/>
            <rFont val="Arial"/>
          </rPr>
          <t>Example: (small) Cracks in walls and/or ceiling of some houses, limited communication network affected, etc
or
Single collapsed house and (nearly) no other damage</t>
        </r>
      </text>
    </comment>
    <comment ref="A6" authorId="0" shapeId="0" xr:uid="{7AAF1A20-414C-4AE5-A033-3C209DFA4054}">
      <text>
        <r>
          <rPr>
            <sz val="10"/>
            <color rgb="FF000000"/>
            <rFont val="Arial"/>
          </rPr>
          <t>A few collapsed walls / partially collapsed ceilings</t>
        </r>
      </text>
    </comment>
    <comment ref="A7" authorId="0" shapeId="0" xr:uid="{3C5220C9-7C22-4763-A4DF-AE9EE7BB4B87}">
      <text>
        <r>
          <rPr>
            <sz val="10"/>
            <color rgb="FF000000"/>
            <rFont val="Arial"/>
          </rPr>
          <t xml:space="preserve">Example: Some houses completely destroyed / unhabitable. Dozend others with structural damage. </t>
        </r>
      </text>
    </comment>
    <comment ref="A8" authorId="0" shapeId="0" xr:uid="{4265C973-3FC0-4482-8372-D47DA9C7EB08}">
      <text>
        <r>
          <rPr>
            <sz val="10"/>
            <color rgb="FF000000"/>
            <rFont val="Arial"/>
          </rPr>
          <t>Hundreds of houses with structural damage</t>
        </r>
      </text>
    </comment>
    <comment ref="A9" authorId="0" shapeId="0" xr:uid="{7C19C7F8-63CC-4537-97E4-E0F1550CED98}">
      <text>
        <r>
          <rPr>
            <sz val="10"/>
            <color rgb="FF000000"/>
            <rFont val="Arial"/>
          </rPr>
          <t>Example: Many Dozends / hundreds of houses collapsed or uninhabitable, hundreds more damaged. Damaged roads by ground fissures and destryed water and power supply.</t>
        </r>
      </text>
    </comment>
    <comment ref="A11" authorId="0" shapeId="0" xr:uid="{B34F7524-9A36-4844-895A-78BB1872CA48}">
      <text>
        <r>
          <rPr>
            <sz val="10"/>
            <color rgb="FF000000"/>
            <rFont val="Arial"/>
          </rPr>
          <t>Thousands of houses collapsed, many more damaged. Also massive damage to infrastructure and communication.</t>
        </r>
      </text>
    </comment>
    <comment ref="C27" authorId="0" shapeId="0" xr:uid="{E0F09DF7-3B01-42B3-B1A9-3BFEBE4129A9}">
      <text>
        <r>
          <rPr>
            <sz val="10"/>
            <color rgb="FF000000"/>
            <rFont val="Arial"/>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DACFF757-AEE2-4B4C-B23D-1285F288AB0A}">
      <text>
        <r>
          <rPr>
            <sz val="10"/>
            <color rgb="FF000000"/>
            <rFont val="Arial"/>
          </rPr>
          <t>Killed and missed people</t>
        </r>
      </text>
    </comment>
    <comment ref="H1" authorId="0" shapeId="0" xr:uid="{A38C047C-1B68-4E8C-9637-C80B904427E5}">
      <text>
        <r>
          <rPr>
            <sz val="10"/>
            <color rgb="FF000000"/>
            <rFont val="Arial"/>
          </rPr>
          <t>Explanation see column A</t>
        </r>
      </text>
    </comment>
    <comment ref="H2" authorId="0" shapeId="0" xr:uid="{E05B07C2-FC52-4CE8-8EC7-7F2F8B26E7AB}">
      <text>
        <r>
          <rPr>
            <sz val="10"/>
            <color rgb="FF000000"/>
            <rFont val="Arial"/>
          </rPr>
          <t>1 old, uninhabitated house collapsed</t>
        </r>
      </text>
    </comment>
    <comment ref="I3" authorId="0" shapeId="0" xr:uid="{144244AC-2BDB-422B-8A10-683BE5184BE0}">
      <text>
        <r>
          <rPr>
            <sz val="10"/>
            <color rgb="FF000000"/>
            <rFont val="Arial"/>
          </rPr>
          <t>Largest amplitude in Deer Lake, Alaska</t>
        </r>
      </text>
    </comment>
    <comment ref="H4" authorId="0" shapeId="0" xr:uid="{84C643C1-C97A-4B07-8A03-3C3D96E36066}">
      <text>
        <r>
          <rPr>
            <sz val="10"/>
            <color rgb="FF000000"/>
            <rFont val="Arial"/>
          </rPr>
          <t>damaged houses, some walls collapsed</t>
        </r>
      </text>
    </comment>
    <comment ref="H5" authorId="0" shapeId="0" xr:uid="{B6A39AAE-3630-480B-8BE9-340191082C00}">
      <text>
        <r>
          <rPr>
            <sz val="10"/>
            <color rgb="FF000000"/>
            <rFont val="Arial"/>
          </rPr>
          <t>many dozend houses damaged, some of them heavy</t>
        </r>
      </text>
    </comment>
    <comment ref="C7" authorId="0" shapeId="0" xr:uid="{5F1FFBC2-DFC3-47BB-BB22-D54051C1236D}">
      <text>
        <r>
          <rPr>
            <sz val="10"/>
            <color rgb="FF000000"/>
            <rFont val="Arial"/>
          </rPr>
          <t>changes in groundwater level caused this quake</t>
        </r>
      </text>
    </comment>
    <comment ref="H16" authorId="0" shapeId="0" xr:uid="{F740F444-059E-44D8-92EE-52AC8F775356}">
      <text>
        <r>
          <rPr>
            <sz val="10"/>
            <color rgb="FF000000"/>
            <rFont val="Arial"/>
          </rPr>
          <t>crack in a road</t>
        </r>
      </text>
    </comment>
    <comment ref="C17" authorId="0" shapeId="0" xr:uid="{0F364F5E-8894-4CF9-B8B2-8B1184BBBCD3}">
      <text>
        <r>
          <rPr>
            <sz val="10"/>
            <color rgb="FF000000"/>
            <rFont val="Arial"/>
          </rPr>
          <t>natural gas extraction</t>
        </r>
      </text>
    </comment>
    <comment ref="H17" authorId="0" shapeId="0" xr:uid="{92FD662A-859C-4D50-A9DA-03F942F6FAA3}">
      <text>
        <r>
          <rPr>
            <sz val="10"/>
            <color rgb="FF000000"/>
            <rFont val="Arial"/>
          </rPr>
          <t>Chimney collapsed</t>
        </r>
      </text>
    </comment>
    <comment ref="B23" authorId="0" shapeId="0" xr:uid="{380BA2AD-343A-4E4F-9433-D34C38D5CBC5}">
      <text>
        <r>
          <rPr>
            <sz val="10"/>
            <color rgb="FF000000"/>
            <rFont val="Arial"/>
          </rPr>
          <t>Epicenter in Kazakhstan, most of the damage in Xinjiang (China) and Kyrgyztan</t>
        </r>
      </text>
    </comment>
    <comment ref="H24" authorId="0" shapeId="0" xr:uid="{A4323A87-01D0-4E3D-B1AC-70E464959465}">
      <text>
        <r>
          <rPr>
            <sz val="10"/>
            <color rgb="FF000000"/>
            <rFont val="Arial"/>
          </rPr>
          <t>some houses damaged</t>
        </r>
      </text>
    </comment>
    <comment ref="B25" authorId="0" shapeId="0" xr:uid="{CE3DA56B-9C68-4A63-A96C-F829DB8EF752}">
      <text>
        <r>
          <rPr>
            <sz val="10"/>
            <color rgb="FF000000"/>
            <rFont val="Arial"/>
          </rPr>
          <t>Felt strongly in Copiapo, felt weakly in Santiago</t>
        </r>
      </text>
    </comment>
    <comment ref="F25" authorId="0" shapeId="0" xr:uid="{F7BF5D57-9062-4CB0-90DE-0DD0CA081228}">
      <text>
        <r>
          <rPr>
            <sz val="10"/>
            <color rgb="FF000000"/>
            <rFont val="Arial"/>
          </rPr>
          <t>Woman died due to heart attack, caused by the earthquake</t>
        </r>
      </text>
    </comment>
    <comment ref="G26" authorId="0" shapeId="0" xr:uid="{2DDE4131-C787-4F7E-A115-CA0BDCA0D021}">
      <text>
        <r>
          <rPr>
            <sz val="10"/>
            <color rgb="FF000000"/>
            <rFont val="Arial"/>
          </rPr>
          <t>FDMA: "1 person slightly injured" (No details available)</t>
        </r>
      </text>
    </comment>
    <comment ref="H27" authorId="0" shapeId="0" xr:uid="{114F57E3-49D3-4B6E-A8C8-D4B7BEAE9655}">
      <text>
        <r>
          <rPr>
            <sz val="10"/>
            <color rgb="FF000000"/>
            <rFont val="Arial"/>
          </rPr>
          <t>some houses damaged</t>
        </r>
      </text>
    </comment>
    <comment ref="B29" authorId="0" shapeId="0" xr:uid="{25512267-697A-4995-B849-C8A0BF58B76F}">
      <text>
        <r>
          <rPr>
            <sz val="10"/>
            <color rgb="FF000000"/>
            <rFont val="Arial"/>
          </rPr>
          <t>Felt strongly in many parts of Hokkaido, also felt in Tokyo</t>
        </r>
      </text>
    </comment>
    <comment ref="C30" authorId="0" shapeId="0" xr:uid="{39287CC4-2327-4BE3-A0F7-262F7BDD3056}">
      <text>
        <r>
          <rPr>
            <sz val="10"/>
            <color rgb="FF000000"/>
            <rFont val="Arial"/>
          </rPr>
          <t>Reservoir induced</t>
        </r>
      </text>
    </comment>
    <comment ref="B31" authorId="0" shapeId="0" xr:uid="{704FA385-4FF3-4114-ABB9-469EF5BAC3C5}">
      <text>
        <r>
          <rPr>
            <sz val="10"/>
            <color rgb="FF000000"/>
            <rFont val="Arial"/>
          </rPr>
          <t>Fracking induced</t>
        </r>
      </text>
    </comment>
    <comment ref="H31" authorId="0" shapeId="0" xr:uid="{6A22D6C7-005A-4923-A058-312BF42C4C35}">
      <text>
        <r>
          <rPr>
            <sz val="10"/>
            <color rgb="FF000000"/>
            <rFont val="Arial"/>
          </rPr>
          <t>2 houses in Coarraze cracked</t>
        </r>
      </text>
    </comment>
    <comment ref="C32" authorId="0" shapeId="0" xr:uid="{264C4590-055F-443E-8A25-4539854F0435}">
      <text>
        <r>
          <rPr>
            <sz val="10"/>
            <color rgb="FF000000"/>
            <rFont val="Arial"/>
          </rPr>
          <t>This rather weak earthquake triggered a landslide who damaged houses and injured 1 person</t>
        </r>
      </text>
    </comment>
    <comment ref="H32" authorId="0" shapeId="0" xr:uid="{71C90F52-92C3-4316-82D3-65634801F84F}">
      <text>
        <r>
          <rPr>
            <sz val="10"/>
            <color rgb="FF000000"/>
            <rFont val="Arial"/>
          </rPr>
          <t xml:space="preserve">Damage caused by triggered landslide
</t>
        </r>
      </text>
    </comment>
    <comment ref="B34" authorId="0" shapeId="0" xr:uid="{980476A0-34D9-4FEF-805B-0030F0777AFA}">
      <text>
        <r>
          <rPr>
            <sz val="10"/>
            <color rgb="FF000000"/>
            <rFont val="Arial"/>
          </rPr>
          <t>Felt severely in Lata ; Felt in Honiara and felt in Port Vila (Vanuatu)</t>
        </r>
      </text>
    </comment>
    <comment ref="H34" authorId="0" shapeId="0" xr:uid="{2F960CC0-C22C-40CB-A753-2291FC6B07FF}">
      <text>
        <r>
          <rPr>
            <sz val="10"/>
            <color rgb="FF000000"/>
            <rFont val="Arial"/>
          </rPr>
          <t>many villages on Ndeni destroyed by the tsunami</t>
        </r>
      </text>
    </comment>
    <comment ref="I34" authorId="0" shapeId="0" xr:uid="{E16FFEE7-BADE-4B28-ADD5-3230ECC47968}">
      <text>
        <r>
          <rPr>
            <sz val="10"/>
            <color rgb="FF000000"/>
            <rFont val="Arial"/>
          </rPr>
          <t>Largest amplitude in Nela, Ndendi, Santa Cruz Islands, Solomon Islands</t>
        </r>
      </text>
    </comment>
    <comment ref="C35" authorId="0" shapeId="0" xr:uid="{8391E96F-0B4F-4EBA-AD3C-BAFCB3970818}">
      <text>
        <r>
          <rPr>
            <sz val="10"/>
            <color rgb="FF000000"/>
            <rFont val="Arial"/>
          </rPr>
          <t>groundwater level changes</t>
        </r>
      </text>
    </comment>
    <comment ref="C37" authorId="0" shapeId="0" xr:uid="{AB48307C-0134-4673-9C2D-259DBBF77E36}">
      <text>
        <r>
          <rPr>
            <sz val="10"/>
            <color rgb="FF000000"/>
            <rFont val="Arial"/>
          </rPr>
          <t>Small rain induced earthquake, probably with subsidence</t>
        </r>
      </text>
    </comment>
    <comment ref="H37" authorId="0" shapeId="0" xr:uid="{F0B08516-6C9F-4B2D-B340-464A07E0F13E}">
      <text>
        <r>
          <rPr>
            <sz val="10"/>
            <color rgb="FF000000"/>
            <rFont val="Arial"/>
          </rPr>
          <t>60 houses cracked</t>
        </r>
      </text>
    </comment>
    <comment ref="C39" authorId="0" shapeId="0" xr:uid="{F9AEE816-D073-4547-926B-616E82966DD2}">
      <text>
        <r>
          <rPr>
            <sz val="10"/>
            <color rgb="FF000000"/>
            <rFont val="Arial"/>
          </rPr>
          <t>Earthquake generated by extraction of natural gas from the area</t>
        </r>
      </text>
    </comment>
    <comment ref="H40" authorId="0" shapeId="0" xr:uid="{B4CFECCA-BE0C-414B-9252-FEF4A4A61A57}">
      <text>
        <r>
          <rPr>
            <sz val="10"/>
            <color rgb="FF000000"/>
            <rFont val="Arial"/>
          </rPr>
          <t>aftershocks damaged runway of local airport, no specific event</t>
        </r>
      </text>
    </comment>
    <comment ref="I40" authorId="0" shapeId="0" xr:uid="{FFB80C08-43A6-495E-A1C6-0A886F7D4B67}">
      <text>
        <r>
          <rPr>
            <sz val="10"/>
            <color rgb="FF000000"/>
            <rFont val="Arial"/>
          </rPr>
          <t>Largest amplitude in Lata, Ndendi, Santa Cruz Islands, Solomon Islands</t>
        </r>
      </text>
    </comment>
    <comment ref="B41" authorId="0" shapeId="0" xr:uid="{AA778481-D13F-4CE7-B8E2-139E9C7DCC12}">
      <text>
        <r>
          <rPr>
            <sz val="10"/>
            <color rgb="FF000000"/>
            <rFont val="Arial"/>
          </rPr>
          <t>Felt neartly everywhere in Colombia: Strong shaking in Pasto ; Felt moderate in Cali and weakly in Bogota.
Also felt moderate in Quito and Guayaquil, Ecuador ; Felt weakly in Panama City</t>
        </r>
      </text>
    </comment>
    <comment ref="C42" authorId="0" shapeId="0" xr:uid="{D1E6966C-7914-43DC-848A-E9D144920F24}">
      <text>
        <r>
          <rPr>
            <sz val="10"/>
            <color rgb="FF000000"/>
            <rFont val="Arial"/>
          </rPr>
          <t>nuclear test</t>
        </r>
      </text>
    </comment>
    <comment ref="G42" authorId="0" shapeId="0" xr:uid="{1C6A5002-94DB-4476-9611-A8C041610E5B}">
      <text>
        <r>
          <rPr>
            <sz val="10"/>
            <color rgb="FF000000"/>
            <rFont val="Arial"/>
          </rPr>
          <t>Woman in China suffered a heart attack by the shaking</t>
        </r>
      </text>
    </comment>
    <comment ref="H44" authorId="0" shapeId="0" xr:uid="{D066A636-3BCB-4406-845F-11F86C9B4992}">
      <text>
        <r>
          <rPr>
            <sz val="10"/>
            <color rgb="FF000000"/>
            <rFont val="Arial"/>
          </rPr>
          <t>some houses damaged</t>
        </r>
      </text>
    </comment>
    <comment ref="A45" authorId="0" shapeId="0" xr:uid="{E1627A98-FC1E-4C9A-99EB-22542812D7D8}">
      <text>
        <r>
          <rPr>
            <sz val="10"/>
            <color rgb="FF000000"/>
            <rFont val="Arial"/>
          </rPr>
          <t>Weak shaking in Rome</t>
        </r>
      </text>
    </comment>
    <comment ref="F45" authorId="0" shapeId="0" xr:uid="{CCA2CFBA-546F-4117-AF11-A8B5395235C3}">
      <text>
        <r>
          <rPr>
            <sz val="10"/>
            <color rgb="FF000000"/>
            <rFont val="Arial"/>
          </rPr>
          <t>63 years old woman died due to heart attack</t>
        </r>
      </text>
    </comment>
    <comment ref="H49" authorId="0" shapeId="0" xr:uid="{86BE3930-13E2-4450-92B8-28455773DCF0}">
      <text>
        <r>
          <rPr>
            <sz val="10"/>
            <color rgb="FF000000"/>
            <rFont val="Arial"/>
          </rPr>
          <t>1 house collapsed. Owner made fatal construction error.</t>
        </r>
      </text>
    </comment>
    <comment ref="B50" authorId="0" shapeId="0" xr:uid="{7C06A6E1-E639-4392-975C-407CE1650EA9}">
      <text>
        <r>
          <rPr>
            <sz val="10"/>
            <color rgb="FF000000"/>
            <rFont val="Arial"/>
          </rPr>
          <t>Mojiang</t>
        </r>
      </text>
    </comment>
    <comment ref="H50" authorId="0" shapeId="0" xr:uid="{9E3372B8-68AA-4242-A93A-E977589E0DFD}">
      <text>
        <r>
          <rPr>
            <sz val="10"/>
            <color rgb="FF000000"/>
            <rFont val="Arial"/>
          </rPr>
          <t>10 houses destroyed. Many more damaged</t>
        </r>
      </text>
    </comment>
    <comment ref="H51" authorId="0" shapeId="0" xr:uid="{9138B6BA-416A-4543-AF7F-684FF840CA93}">
      <text>
        <r>
          <rPr>
            <sz val="10"/>
            <color rgb="FF000000"/>
            <rFont val="Arial"/>
          </rPr>
          <t xml:space="preserve">small cracks </t>
        </r>
      </text>
    </comment>
    <comment ref="B53" authorId="0" shapeId="0" xr:uid="{F5906517-EB7D-47FC-88BC-876E955E4728}">
      <text>
        <r>
          <rPr>
            <sz val="10"/>
            <color rgb="FF000000"/>
            <rFont val="Arial"/>
          </rPr>
          <t>Also felt in Hongkong</t>
        </r>
      </text>
    </comment>
    <comment ref="C56" authorId="0" shapeId="0" xr:uid="{1A15934E-AB23-45CE-87DA-A519313D504E}">
      <text>
        <r>
          <rPr>
            <sz val="10"/>
            <color rgb="FF000000"/>
            <rFont val="Arial"/>
          </rPr>
          <t>natural gas and oil extraction</t>
        </r>
      </text>
    </comment>
    <comment ref="B57" authorId="0" shapeId="0" xr:uid="{F48590B4-C3DD-4C61-ABAC-7818B9784875}">
      <text>
        <r>
          <rPr>
            <sz val="10"/>
            <color rgb="FF000000"/>
            <rFont val="Arial"/>
          </rPr>
          <t>Felt in Port Vila</t>
        </r>
      </text>
    </comment>
    <comment ref="H57" authorId="0" shapeId="0" xr:uid="{FF8FDEF7-940B-4E1D-87CC-8465AF782477}">
      <text>
        <r>
          <rPr>
            <sz val="10"/>
            <color rgb="FF000000"/>
            <rFont val="Arial"/>
          </rPr>
          <t>unconfirmed reports of "minimal damage" in Port Vila</t>
        </r>
      </text>
    </comment>
    <comment ref="C58" authorId="0" shapeId="0" xr:uid="{1D32925A-18B9-4948-941C-FB8FBADB2658}">
      <text>
        <r>
          <rPr>
            <sz val="10"/>
            <color rgb="FF000000"/>
            <rFont val="Arial"/>
          </rPr>
          <t>2 more quakes with M 3.8 and 3.4</t>
        </r>
      </text>
    </comment>
    <comment ref="H58" authorId="0" shapeId="0" xr:uid="{94951DB8-E977-4A9D-AB53-18B63C026161}">
      <text>
        <r>
          <rPr>
            <sz val="10"/>
            <color rgb="FF000000"/>
            <rFont val="Arial"/>
          </rPr>
          <t>some buildings (schools, residental houses) cracked</t>
        </r>
      </text>
    </comment>
    <comment ref="H59" authorId="0" shapeId="0" xr:uid="{4E666E6B-2C64-490A-A6BC-5AA3AF376C8B}">
      <text>
        <r>
          <rPr>
            <sz val="10"/>
            <color rgb="FF000000"/>
            <rFont val="Arial"/>
          </rPr>
          <t>some cracked houses</t>
        </r>
      </text>
    </comment>
    <comment ref="C62" authorId="0" shapeId="0" xr:uid="{A6F9D4B8-4A47-43E4-9C7F-606EF3BB08AE}">
      <text>
        <r>
          <rPr>
            <sz val="10"/>
            <color rgb="FF000000"/>
            <rFont val="Arial"/>
          </rPr>
          <t>mining</t>
        </r>
      </text>
    </comment>
    <comment ref="H62" authorId="0" shapeId="0" xr:uid="{2011DF4E-A8AF-4359-BE22-B55702C731F9}">
      <text>
        <r>
          <rPr>
            <sz val="10"/>
            <color rgb="FF000000"/>
            <rFont val="Arial"/>
          </rPr>
          <t>Some collapsed chimneys</t>
        </r>
      </text>
    </comment>
    <comment ref="B63" authorId="0" shapeId="0" xr:uid="{E5ECF725-6023-4961-95C2-CABE9821F97A}">
      <text>
        <r>
          <rPr>
            <sz val="10"/>
            <color rgb="FF000000"/>
            <rFont val="Arial"/>
          </rPr>
          <t>Felt in Dali and Kunming (Yunnan)</t>
        </r>
      </text>
    </comment>
    <comment ref="H63" authorId="0" shapeId="0" xr:uid="{FA39F0B9-1D82-4FB8-AF28-DDE08E88B5D4}">
      <text>
        <r>
          <rPr>
            <sz val="10"/>
            <color rgb="FF000000"/>
            <rFont val="Arial"/>
          </rPr>
          <t>Many thousands of homes damaged or destroyed.</t>
        </r>
      </text>
    </comment>
    <comment ref="A64" authorId="0" shapeId="0" xr:uid="{8A414FF2-B9DA-42D3-B8B8-4CE53F2D0BDE}">
      <text>
        <r>
          <rPr>
            <sz val="10"/>
            <color rgb="FF000000"/>
            <rFont val="Arial"/>
          </rPr>
          <t>Swarm of 38 earthquakes within a couple of days</t>
        </r>
      </text>
    </comment>
    <comment ref="C64" authorId="0" shapeId="0" xr:uid="{188D133F-EC6F-4174-BB06-1D175BDBDF3C}">
      <text>
        <r>
          <rPr>
            <sz val="10"/>
            <color rgb="FF000000"/>
            <rFont val="Arial"/>
          </rPr>
          <t>38 earthquakes between M 2,2 and 4,1</t>
        </r>
      </text>
    </comment>
    <comment ref="D64" authorId="0" shapeId="0" xr:uid="{799C78A3-83AF-4526-9036-AEC310E746F7}">
      <text>
        <r>
          <rPr>
            <sz val="10"/>
            <color rgb="FF000000"/>
            <rFont val="Arial"/>
          </rPr>
          <t>Different depths. 5 km for the largest quake.</t>
        </r>
      </text>
    </comment>
    <comment ref="H64" authorId="0" shapeId="0" xr:uid="{E86AB0AA-0D07-4D61-ABEC-B2626429F90B}">
      <text>
        <r>
          <rPr>
            <sz val="10"/>
            <color rgb="FF000000"/>
            <rFont val="Arial"/>
          </rPr>
          <t>Damage caused by all of these earthquakes together</t>
        </r>
      </text>
    </comment>
    <comment ref="C65" authorId="0" shapeId="0" xr:uid="{172EDB0A-BCBE-4DFF-AFC4-AD58AD154C9E}">
      <text>
        <r>
          <rPr>
            <sz val="10"/>
            <color rgb="FF000000"/>
            <rFont val="Arial"/>
          </rPr>
          <t>Double quake, M 4.9 followed some hours later</t>
        </r>
      </text>
    </comment>
    <comment ref="B66" authorId="0" shapeId="0" xr:uid="{8BCA1E38-1AAF-4A61-A1B5-C74CE6A07095}">
      <text>
        <r>
          <rPr>
            <sz val="10"/>
            <color rgb="FF000000"/>
            <rFont val="Arial"/>
          </rPr>
          <t>Felt weakly in Kathmandu</t>
        </r>
      </text>
    </comment>
    <comment ref="H67" authorId="0" shapeId="0" xr:uid="{A0945D51-08C7-4437-AABC-63CE9C8C6B71}">
      <text>
        <r>
          <rPr>
            <sz val="10"/>
            <color rgb="FF000000"/>
            <rFont val="Arial"/>
          </rPr>
          <t>Some houses damaged</t>
        </r>
      </text>
    </comment>
    <comment ref="C70" authorId="0" shapeId="0" xr:uid="{6D817A34-8824-4D5A-AE70-1BDF2BB90799}">
      <text>
        <r>
          <rPr>
            <sz val="10"/>
            <color rgb="FF000000"/>
            <rFont val="Arial"/>
          </rPr>
          <t>mining</t>
        </r>
      </text>
    </comment>
    <comment ref="F70" authorId="0" shapeId="0" xr:uid="{182901B4-D7AC-4B2F-9599-66A42162C2CA}">
      <text>
        <r>
          <rPr>
            <sz val="10"/>
            <color rgb="FF000000"/>
            <rFont val="Arial"/>
          </rPr>
          <t>Rockburst kills miners</t>
        </r>
      </text>
    </comment>
    <comment ref="H70" authorId="0" shapeId="0" xr:uid="{3563D32F-5B48-4BD1-A397-EFFD5D636CF7}">
      <text>
        <r>
          <rPr>
            <sz val="10"/>
            <color rgb="FF000000"/>
            <rFont val="Arial"/>
          </rPr>
          <t>Mine buildings damaged by the quake</t>
        </r>
      </text>
    </comment>
    <comment ref="H71" authorId="0" shapeId="0" xr:uid="{A75DC2A6-AB43-47C8-A963-1DC3BC02F21A}">
      <text>
        <r>
          <rPr>
            <sz val="10"/>
            <color rgb="FF000000"/>
            <rFont val="Arial"/>
          </rPr>
          <t>Cracks in sidewalks</t>
        </r>
      </text>
    </comment>
    <comment ref="B73" authorId="0" shapeId="0" xr:uid="{A4701E11-7630-484D-8FC1-F04AB4AF857E}">
      <text>
        <r>
          <rPr>
            <sz val="10"/>
            <color rgb="FF000000"/>
            <rFont val="Arial"/>
          </rPr>
          <t>Quake caused by mining.
One mine collapsed, trapped many workers for hours and injured 5.
Quake felt also in eastern Germany</t>
        </r>
      </text>
    </comment>
    <comment ref="C73" authorId="0" shapeId="0" xr:uid="{CDCDB0C1-5ED4-42A7-B5FF-5766D1BFE407}">
      <text>
        <r>
          <rPr>
            <sz val="10"/>
            <color rgb="FF000000"/>
            <rFont val="Arial"/>
          </rPr>
          <t>Quake caused by Mine collapse, trapped 19 workers temporarely, injured 5</t>
        </r>
      </text>
    </comment>
    <comment ref="C75" authorId="0" shapeId="0" xr:uid="{93B5C66C-E86A-4D37-B526-6455805DBEA5}">
      <text>
        <r>
          <rPr>
            <sz val="10"/>
            <color rgb="FF000000"/>
            <rFont val="Arial"/>
          </rPr>
          <t>natural gas and oil extraction</t>
        </r>
      </text>
    </comment>
    <comment ref="B76" authorId="0" shapeId="0" xr:uid="{5BBF4741-B8FD-47F4-89B7-0AEE21A085E9}">
      <text>
        <r>
          <rPr>
            <sz val="10"/>
            <color rgb="FF000000"/>
            <rFont val="Arial"/>
          </rPr>
          <t>Felt weakly in Taipeh ; Also felt in Fujian, China</t>
        </r>
      </text>
    </comment>
    <comment ref="B78" authorId="0" shapeId="0" xr:uid="{8B98C9FD-6FE5-4E7E-B14E-E87418DEFA5C}">
      <text>
        <r>
          <rPr>
            <sz val="10"/>
            <color rgb="FF000000"/>
            <rFont val="Arial"/>
          </rPr>
          <t>Felt in Urumqi</t>
        </r>
      </text>
    </comment>
    <comment ref="C79" authorId="0" shapeId="0" xr:uid="{BF123AF9-96C1-4805-8312-A9CF9153E6A7}">
      <text>
        <r>
          <rPr>
            <sz val="10"/>
            <color rgb="FF000000"/>
            <rFont val="Arial"/>
          </rPr>
          <t>volcanic origin</t>
        </r>
      </text>
    </comment>
    <comment ref="H79" authorId="0" shapeId="0" xr:uid="{6F0AB476-7374-40B5-8847-D1106B49357C}">
      <text>
        <r>
          <rPr>
            <sz val="10"/>
            <color rgb="FF000000"/>
            <rFont val="Arial"/>
          </rPr>
          <t>Landslides / blocked roads on El Hierro</t>
        </r>
      </text>
    </comment>
    <comment ref="B81" authorId="0" shapeId="0" xr:uid="{204E0545-F53A-4406-85AB-3137FDD22DB3}">
      <text>
        <r>
          <rPr>
            <sz val="10"/>
            <color rgb="FF000000"/>
            <rFont val="Arial"/>
          </rPr>
          <t>felt in Kabul (Afghanistan), Islamabad (Pakistan), New Dehli (India) and Duschanbe (Tajikistan)</t>
        </r>
      </text>
    </comment>
    <comment ref="G81" authorId="0" shapeId="0" xr:uid="{CC3F0350-E1E8-4668-AFDD-B0D159B9F8BE}">
      <text>
        <r>
          <rPr>
            <sz val="10"/>
            <color rgb="FF000000"/>
            <rFont val="Arial"/>
          </rPr>
          <t>3 indirect injuries by falling off the stairs</t>
        </r>
      </text>
    </comment>
    <comment ref="H86" authorId="0" shapeId="0" xr:uid="{D8E68870-18ED-4152-B436-D7F5E62551D4}">
      <text>
        <r>
          <rPr>
            <sz val="10"/>
            <color rgb="FF000000"/>
            <rFont val="Arial"/>
          </rPr>
          <t>11 houses damaged</t>
        </r>
      </text>
    </comment>
    <comment ref="B87" authorId="0" shapeId="0" xr:uid="{6EC6738A-0ABD-4BE7-84B9-7C3948681097}">
      <text>
        <r>
          <rPr>
            <sz val="10"/>
            <color rgb="FF000000"/>
            <rFont val="Arial"/>
          </rPr>
          <t>Felt in Kuwait, felt in Dubai and Abu Dhabi (UAE), felt in Manama (Bahrain), felt in Qatar and felt in Al Khobar (Saudi Arabia) ; Also felt in many parts of southern Iran, including Bushehr and Shiraz</t>
        </r>
      </text>
    </comment>
    <comment ref="B88" authorId="0" shapeId="0" xr:uid="{760DF671-0BF3-440C-8650-6404F93E1428}">
      <text>
        <r>
          <rPr>
            <sz val="10"/>
            <color rgb="FF000000"/>
            <rFont val="Arial"/>
          </rPr>
          <t>Felt in Tegucigalpa and San Pedro Sula</t>
        </r>
      </text>
    </comment>
    <comment ref="B89" authorId="0" shapeId="0" xr:uid="{D0C6C710-ECCD-458E-80C5-D64D90BC7507}">
      <text>
        <r>
          <rPr>
            <sz val="10"/>
            <color rgb="FF000000"/>
            <rFont val="Arial"/>
          </rPr>
          <t>Felt strongly in Kyoto - Kobe - Osaka area , also felt in Hiroshima and Tokushima</t>
        </r>
      </text>
    </comment>
    <comment ref="H90" authorId="0" shapeId="0" xr:uid="{67CE2335-79E3-42B4-B0AC-31CEF76E8B2E}">
      <text>
        <r>
          <rPr>
            <sz val="10"/>
            <color rgb="FF000000"/>
            <rFont val="Arial"/>
          </rPr>
          <t>few buildings cracked, tiles fell down</t>
        </r>
      </text>
    </comment>
    <comment ref="B92" authorId="0" shapeId="0" xr:uid="{584FF7C9-819E-410E-8107-2FAB0A2891CC}">
      <text>
        <r>
          <rPr>
            <sz val="10"/>
            <color rgb="FF000000"/>
            <rFont val="Arial"/>
          </rPr>
          <t>People killed and injured by landslide</t>
        </r>
      </text>
    </comment>
    <comment ref="H92" authorId="0" shapeId="0" xr:uid="{CAF524AE-DC87-4AD8-97D2-702C40BA2DFF}">
      <text>
        <r>
          <rPr>
            <sz val="10"/>
            <color rgb="FF000000"/>
            <rFont val="Arial"/>
          </rPr>
          <t>Landslide</t>
        </r>
      </text>
    </comment>
    <comment ref="B93" authorId="0" shapeId="0" xr:uid="{9663020E-0FA3-4BD9-A545-FB2D4C1172E0}">
      <text>
        <r>
          <rPr>
            <sz val="10"/>
            <color rgb="FF000000"/>
            <rFont val="Arial"/>
          </rPr>
          <t>Felt in Kuwait, felt in Doha/Qatar, felt in Manama/Bahrain, felt in Riyadh/Saudi-Arabia, felt in Abu Dhabi and Dubai / UAE, felt in Muscat/Oman, felt in Islamabad Lahore and Karachi / Pakistan, felt in Kandahar/Afganistan, felt in New Dehli Jaipur and Mumbai, India. Felt in many parts of Iran, including Shiraz and Tehran</t>
        </r>
      </text>
    </comment>
    <comment ref="H94" authorId="0" shapeId="0" xr:uid="{B73DA11C-C543-4159-B093-6A1F481AA3E4}">
      <text>
        <r>
          <rPr>
            <sz val="10"/>
            <color rgb="FF000000"/>
            <rFont val="Arial"/>
          </rPr>
          <t>many houses, schools, etc. damaged, some severely. 9 communities affected</t>
        </r>
      </text>
    </comment>
    <comment ref="B96" authorId="0" shapeId="0" xr:uid="{1129B591-4DB1-4AD2-99DC-389E81904071}">
      <text>
        <r>
          <rPr>
            <sz val="10"/>
            <color rgb="FF000000"/>
            <rFont val="Arial"/>
          </rPr>
          <t>Felt in Tokyo</t>
        </r>
      </text>
    </comment>
    <comment ref="H98" authorId="0" shapeId="0" xr:uid="{082D0F44-76CC-4832-9B78-14DED05CCCB4}">
      <text>
        <r>
          <rPr>
            <sz val="10"/>
            <color rgb="FF000000"/>
            <rFont val="Arial"/>
          </rPr>
          <t>a few buildings damaged</t>
        </r>
      </text>
    </comment>
    <comment ref="B100" authorId="0" shapeId="0" xr:uid="{F4DC1314-A5B5-4505-9DA0-39DAA882DABC}">
      <text>
        <r>
          <rPr>
            <sz val="10"/>
            <color rgb="FF000000"/>
            <rFont val="Arial"/>
          </rPr>
          <t>Felt weakly in parts of Hokkaido, Japan</t>
        </r>
      </text>
    </comment>
    <comment ref="H102" authorId="0" shapeId="0" xr:uid="{B0A82A6E-5397-4776-8656-9DAB5FFFC81C}">
      <text>
        <r>
          <rPr>
            <sz val="10"/>
            <color rgb="FF000000"/>
            <rFont val="Arial"/>
          </rPr>
          <t>Unconfirmed reports of damaged/destroyed houses</t>
        </r>
      </text>
    </comment>
    <comment ref="B103" authorId="0" shapeId="0" xr:uid="{23FE983A-B764-4649-B3BC-90C78E4D1BFF}">
      <text>
        <r>
          <rPr>
            <sz val="10"/>
            <color rgb="FF000000"/>
            <rFont val="Arial"/>
          </rPr>
          <t>Felt in Chengdu, Chongqing and Xi'an</t>
        </r>
      </text>
    </comment>
    <comment ref="F103" authorId="0" shapeId="0" xr:uid="{F1549EAC-E1E4-414E-9CA4-C849228FF24D}">
      <text>
        <r>
          <rPr>
            <sz val="10"/>
            <color rgb="FF000000"/>
            <rFont val="Arial"/>
          </rPr>
          <t>21 people still missing</t>
        </r>
      </text>
    </comment>
    <comment ref="H104" authorId="0" shapeId="0" xr:uid="{2CC421D2-F034-4711-A853-E3DCA1839E16}">
      <text>
        <r>
          <rPr>
            <sz val="10"/>
            <color rgb="FF000000"/>
            <rFont val="Arial"/>
          </rPr>
          <t>some buildings sightly damaged</t>
        </r>
      </text>
    </comment>
    <comment ref="H105" authorId="0" shapeId="0" xr:uid="{DC0C4684-1FAF-4757-9C61-BFBB3E4A2719}">
      <text>
        <r>
          <rPr>
            <sz val="10"/>
            <color rgb="FF000000"/>
            <rFont val="Arial"/>
          </rPr>
          <t>cracks in walls and roofs of some schools and kindergardens</t>
        </r>
      </text>
    </comment>
    <comment ref="F107" authorId="0" shapeId="0" xr:uid="{CFCFC626-CBF1-40A2-B8A9-303CCF068189}">
      <text>
        <r>
          <rPr>
            <sz val="10"/>
            <color rgb="FF000000"/>
            <rFont val="Arial"/>
          </rPr>
          <t>heart attack</t>
        </r>
      </text>
    </comment>
    <comment ref="C108" authorId="0" shapeId="0" xr:uid="{1CE37F4A-347A-4D32-BBC2-9667C89E0E1C}">
      <text>
        <r>
          <rPr>
            <sz val="10"/>
            <color rgb="FF000000"/>
            <rFont val="Arial"/>
          </rPr>
          <t>Magnitude and depth unknown. No seismic observatory registered this quake.</t>
        </r>
      </text>
    </comment>
    <comment ref="B109" authorId="0" shapeId="0" xr:uid="{5E597168-F070-4E10-8E46-2028B108E3E8}">
      <text>
        <r>
          <rPr>
            <sz val="10"/>
            <color rgb="FF000000"/>
            <rFont val="Arial"/>
          </rPr>
          <t>Felt in Budapest and Debrecen</t>
        </r>
      </text>
    </comment>
    <comment ref="B112" authorId="0" shapeId="0" xr:uid="{99C52C5E-C1B7-430B-AD0A-10C328895ADF}">
      <text>
        <r>
          <rPr>
            <sz val="10"/>
            <color rgb="FF000000"/>
            <rFont val="Arial"/>
          </rPr>
          <t>Felt strongly in Jalalabad(AFG), felt weakly in Kabul (Afghanistan)and Islamabad (Pakistan). Very weak shaking in New Dehli (India)</t>
        </r>
      </text>
    </comment>
    <comment ref="F113" authorId="0" shapeId="0" xr:uid="{F06EAC1C-D2E9-4F4F-B121-5347F4B66265}">
      <text>
        <r>
          <rPr>
            <sz val="10"/>
            <color rgb="FF000000"/>
            <rFont val="Arial"/>
          </rPr>
          <t>14-years old girl died while her school was evacuated</t>
        </r>
      </text>
    </comment>
    <comment ref="H114" authorId="0" shapeId="0" xr:uid="{63005C42-9E9C-436E-9E4D-26A73601F95A}">
      <text>
        <r>
          <rPr>
            <sz val="10"/>
            <color rgb="FF000000"/>
            <rFont val="Arial"/>
          </rPr>
          <t>School and Kindergarden building damaged slightly</t>
        </r>
      </text>
    </comment>
    <comment ref="I115" authorId="0" shapeId="0" xr:uid="{09498DB3-1694-4629-AF28-BA2E2F3E9E9D}">
      <text>
        <r>
          <rPr>
            <sz val="10"/>
            <color rgb="FF000000"/>
            <rFont val="Arial"/>
          </rPr>
          <t>Tsunami with a heigh of a few centimetes was registered on Frensh atlantic coast</t>
        </r>
      </text>
    </comment>
    <comment ref="C116" authorId="0" shapeId="0" xr:uid="{CCFFFEB5-064A-4943-9503-7A588BB5B71C}">
      <text>
        <r>
          <rPr>
            <sz val="10"/>
            <color rgb="FF000000"/>
            <rFont val="Arial"/>
          </rPr>
          <t>foreshock</t>
        </r>
      </text>
    </comment>
    <comment ref="H117" authorId="0" shapeId="0" xr:uid="{E52E5374-A9B4-4F3C-A79D-EC993F25E602}">
      <text>
        <r>
          <rPr>
            <sz val="10"/>
            <color rgb="FF000000"/>
            <rFont val="Arial"/>
          </rPr>
          <t>A collapsed barn near Erzincan killed some lifestock</t>
        </r>
      </text>
    </comment>
    <comment ref="B118" authorId="0" shapeId="0" xr:uid="{63DBC84C-6BBA-484E-B49F-A8CAA991306F}">
      <text>
        <r>
          <rPr>
            <sz val="10"/>
            <color rgb="FF000000"/>
            <rFont val="Arial"/>
          </rPr>
          <t>felt in north western India, including New Dehli ; Also felt in northern Pakistan, including Lahore and Islamabad</t>
        </r>
      </text>
    </comment>
    <comment ref="G118" authorId="0" shapeId="0" xr:uid="{C6E9BC4F-B172-4C81-8DD3-B5F282D6FAF0}">
      <text>
        <r>
          <rPr>
            <sz val="10"/>
            <color rgb="FF000000"/>
            <rFont val="Arial"/>
          </rPr>
          <t>estimated</t>
        </r>
      </text>
    </comment>
    <comment ref="H119" authorId="0" shapeId="0" xr:uid="{18F902D6-4129-48B5-9301-1E799EE3A3AE}">
      <text>
        <r>
          <rPr>
            <sz val="10"/>
            <color rgb="FF000000"/>
            <rFont val="Arial"/>
          </rPr>
          <t>2 houses collpased</t>
        </r>
      </text>
    </comment>
    <comment ref="H120" authorId="0" shapeId="0" xr:uid="{BCF6856E-A19A-4917-9CE9-B40298A7D23F}">
      <text>
        <r>
          <rPr>
            <sz val="10"/>
            <color rgb="FF000000"/>
            <rFont val="Arial"/>
          </rPr>
          <t>Cracks in the floor of houses</t>
        </r>
      </text>
    </comment>
    <comment ref="H123" authorId="0" shapeId="0" xr:uid="{DFDB9779-8060-46C5-93F9-F8A79EDDBC17}">
      <text>
        <r>
          <rPr>
            <sz val="10"/>
            <color rgb="FF000000"/>
            <rFont val="Arial"/>
          </rPr>
          <t>minor damage reported, no details</t>
        </r>
      </text>
    </comment>
    <comment ref="B129" authorId="0" shapeId="0" xr:uid="{1503A4D0-E651-4F48-9067-3AE16C41FB6F}">
      <text>
        <r>
          <rPr>
            <sz val="10"/>
            <color rgb="FF000000"/>
            <rFont val="Arial"/>
          </rPr>
          <t>Felt in Abu Dhabi and Dubai (UAE)</t>
        </r>
      </text>
    </comment>
    <comment ref="F132" authorId="0" shapeId="0" xr:uid="{7F31B8D2-44E1-4F8A-B07D-1221670608B2}">
      <text>
        <r>
          <rPr>
            <sz val="10"/>
            <color rgb="FF000000"/>
            <rFont val="Arial"/>
          </rPr>
          <t>61-year old woman died by heart attack</t>
        </r>
      </text>
    </comment>
    <comment ref="H133" authorId="0" shapeId="0" xr:uid="{6A1FB366-D6E1-4DC6-B686-B00CE4469C72}">
      <text>
        <r>
          <rPr>
            <sz val="10"/>
            <color rgb="FF000000"/>
            <rFont val="Arial"/>
          </rPr>
          <t>Large peace of plaster fell down from the ceiling of a hotel</t>
        </r>
      </text>
    </comment>
    <comment ref="B137" authorId="0" shapeId="0" xr:uid="{38304094-BD64-4C58-87E2-CCC25FB1803B}">
      <text>
        <r>
          <rPr>
            <sz val="10"/>
            <color rgb="FF000000"/>
            <rFont val="Arial"/>
          </rPr>
          <t>Slight Shaking in Algier</t>
        </r>
      </text>
    </comment>
    <comment ref="B138" authorId="0" shapeId="0" xr:uid="{E85F14B1-0AA4-4516-B7DA-EF82D79D9B31}">
      <text>
        <r>
          <rPr>
            <sz val="10"/>
            <color rgb="FF000000"/>
            <rFont val="Arial"/>
          </rPr>
          <t>Felt as far as Sacramento (CA) and Reno (NV)</t>
        </r>
      </text>
    </comment>
    <comment ref="B139" authorId="0" shapeId="0" xr:uid="{5489D08C-62BD-45F2-981E-3A6479B53E27}">
      <text>
        <r>
          <rPr>
            <sz val="10"/>
            <color rgb="FF000000"/>
            <rFont val="Arial"/>
          </rPr>
          <t>Felt in many parts of Russia, China and Japan ; Felt in New Dehli, Chennai and other parts of India ; Felt in Kathmandu (Nepal) ; Felt in Many parts of Kazakhstan ; Felt in Bishkek, Kyrgyztan ; Felt in parts of Romania, Ukraine and Finland ; Also felt by a few people in Italy, France, Denmark, Hungary , Alaska and Canada</t>
        </r>
      </text>
    </comment>
    <comment ref="G139" authorId="0" shapeId="0" xr:uid="{B3509B96-B32C-4F00-AA17-6C00B3420331}">
      <text>
        <r>
          <rPr>
            <sz val="10"/>
            <color rgb="FF000000"/>
            <rFont val="Arial"/>
          </rPr>
          <t>1 person in St. Petersburg got sick by the shaking in a skyscraper</t>
        </r>
      </text>
    </comment>
    <comment ref="H139" authorId="0" shapeId="0" xr:uid="{08DE4B62-932A-45A1-B768-A34CD4161976}">
      <text>
        <r>
          <rPr>
            <sz val="10"/>
            <color rgb="FF000000"/>
            <rFont val="Arial"/>
          </rPr>
          <t>damaged houses and bridges in Moscow, Samara and Jakultsk</t>
        </r>
      </text>
    </comment>
    <comment ref="B143" authorId="0" shapeId="0" xr:uid="{D08319F2-C29C-4918-B0B1-A7601C8EBD48}">
      <text>
        <r>
          <rPr>
            <sz val="10"/>
            <color rgb="FF000000"/>
            <rFont val="Arial"/>
          </rPr>
          <t>Felt in all regions of Panama, also felt in San Jose (Costa Rica)</t>
        </r>
      </text>
    </comment>
    <comment ref="C144" authorId="0" shapeId="0" xr:uid="{80FD5A96-2AF4-45BF-9347-13C19D4A0F6A}">
      <text>
        <r>
          <rPr>
            <sz val="10"/>
            <color rgb="FF000000"/>
            <rFont val="Arial"/>
          </rPr>
          <t>Magnitude and depth unknown</t>
        </r>
      </text>
    </comment>
    <comment ref="B145" authorId="0" shapeId="0" xr:uid="{419ED2D7-8E7A-4928-AC16-5388D92A9EC9}">
      <text>
        <r>
          <rPr>
            <sz val="10"/>
            <color rgb="FF000000"/>
            <rFont val="Arial"/>
          </rPr>
          <t>Felt in Los Angeles</t>
        </r>
      </text>
    </comment>
    <comment ref="H146" authorId="0" shapeId="0" xr:uid="{FE98FE63-5052-4012-BF1A-87F9E7EFAD2D}">
      <text>
        <r>
          <rPr>
            <sz val="10"/>
            <color rgb="FF000000"/>
            <rFont val="Arial"/>
          </rPr>
          <t>1 church in Ladysmith was damaged</t>
        </r>
      </text>
    </comment>
    <comment ref="B149" authorId="0" shapeId="0" xr:uid="{657743D3-9DA0-495F-96D0-69711A4C6228}">
      <text>
        <r>
          <rPr>
            <sz val="10"/>
            <color rgb="FF000000"/>
            <rFont val="Arial"/>
          </rPr>
          <t>Felt in whole Taiwan, weakly in Taipeh ; Also light shaking in some chinese provinces</t>
        </r>
      </text>
    </comment>
    <comment ref="F149" authorId="0" shapeId="0" xr:uid="{9B0A6E9C-4C31-4C09-90AB-2CEDEDC1D255}">
      <text>
        <r>
          <rPr>
            <sz val="10"/>
            <color rgb="FF000000"/>
            <rFont val="Arial"/>
          </rPr>
          <t>1 person missing</t>
        </r>
      </text>
    </comment>
    <comment ref="G149" authorId="0" shapeId="0" xr:uid="{0334833B-4C09-44D4-A138-E80C5FBF365C}">
      <text>
        <r>
          <rPr>
            <sz val="10"/>
            <color rgb="FF000000"/>
            <rFont val="Arial"/>
          </rPr>
          <t>17 injuries by landslides and rockfalls</t>
        </r>
      </text>
    </comment>
    <comment ref="C151" authorId="0" shapeId="0" xr:uid="{B537363A-4FC7-4290-9C3B-37C9B85267AB}">
      <text>
        <r>
          <rPr>
            <sz val="10"/>
            <color rgb="FF000000"/>
            <rFont val="Arial"/>
          </rPr>
          <t>mining</t>
        </r>
      </text>
    </comment>
    <comment ref="H151" authorId="0" shapeId="0" xr:uid="{2C385344-E6BE-40CD-92ED-C912A038D335}">
      <text>
        <r>
          <rPr>
            <sz val="10"/>
            <color rgb="FF000000"/>
            <rFont val="Arial"/>
          </rPr>
          <t>some buildings damaged</t>
        </r>
      </text>
    </comment>
    <comment ref="B152" authorId="0" shapeId="0" xr:uid="{F767A093-2940-45DC-A25E-4A43AE7DE910}">
      <text>
        <r>
          <rPr>
            <sz val="10"/>
            <color rgb="FF000000"/>
            <rFont val="Arial"/>
          </rPr>
          <t>Felt in Budapest</t>
        </r>
      </text>
    </comment>
    <comment ref="H152" authorId="0" shapeId="0" xr:uid="{DBD24676-80D1-4988-899B-46E26711F79C}">
      <text>
        <r>
          <rPr>
            <sz val="10"/>
            <color rgb="FF000000"/>
            <rFont val="Arial"/>
          </rPr>
          <t xml:space="preserve">93 buildings damaged
</t>
        </r>
      </text>
    </comment>
    <comment ref="C153" authorId="0" shapeId="0" xr:uid="{E38EC976-F2C9-402C-BC27-2EBB796B09A5}">
      <text>
        <r>
          <rPr>
            <sz val="10"/>
            <color rgb="FF000000"/>
            <rFont val="Arial"/>
          </rPr>
          <t>mining</t>
        </r>
      </text>
    </comment>
    <comment ref="C156" authorId="0" shapeId="0" xr:uid="{8B40C630-DD3A-4E2A-8B41-69A3814D576D}">
      <text>
        <r>
          <rPr>
            <sz val="10"/>
            <color rgb="FF000000"/>
            <rFont val="Arial"/>
          </rPr>
          <t>mining</t>
        </r>
      </text>
    </comment>
    <comment ref="H156" authorId="0" shapeId="0" xr:uid="{24780993-85E0-4D32-B56C-0817B9021C8D}">
      <text>
        <r>
          <rPr>
            <sz val="10"/>
            <color rgb="FF000000"/>
            <rFont val="Arial"/>
          </rPr>
          <t>Buildings cracked</t>
        </r>
      </text>
    </comment>
    <comment ref="H159" authorId="0" shapeId="0" xr:uid="{23EA0106-4D74-4063-B135-025C4160838F}">
      <text>
        <r>
          <rPr>
            <sz val="10"/>
            <color rgb="FF000000"/>
            <rFont val="Arial"/>
          </rPr>
          <t>25 houses damaged</t>
        </r>
      </text>
    </comment>
    <comment ref="B160" authorId="0" shapeId="0" xr:uid="{2AC8ED5F-140D-49B7-BBCE-B41FFE763E55}">
      <text>
        <r>
          <rPr>
            <sz val="10"/>
            <color rgb="FF000000"/>
            <rFont val="Arial"/>
          </rPr>
          <t>Felt Strongly in Managua, also felt in parts of Honduras, Costa Rica (San Jose) and El Salvador (San Salvador)</t>
        </r>
      </text>
    </comment>
    <comment ref="B161" authorId="0" shapeId="0" xr:uid="{D6AE82E8-4E34-4423-80F7-90C141D1C324}">
      <text>
        <r>
          <rPr>
            <sz val="10"/>
            <color rgb="FF000000"/>
            <rFont val="Arial"/>
          </rPr>
          <t>Felt strongly in Mexico City</t>
        </r>
      </text>
    </comment>
    <comment ref="H163" authorId="0" shapeId="0" xr:uid="{434D5D2C-4D06-46E5-8181-5F027A71D335}">
      <text>
        <r>
          <rPr>
            <sz val="10"/>
            <color rgb="FF000000"/>
            <rFont val="Arial"/>
          </rPr>
          <t>A sludge reservoir of an Aluminium plant was destroyed by an earthquake swarm in 3rd week of June. The toxic sludge flooded villages and streams.</t>
        </r>
      </text>
    </comment>
    <comment ref="H164" authorId="0" shapeId="0" xr:uid="{9DCB89AE-1D66-4303-B658-61A969C97CD4}">
      <text>
        <r>
          <rPr>
            <sz val="10"/>
            <color rgb="FF000000"/>
            <rFont val="Arial"/>
          </rPr>
          <t>Some buildings slightly damaged</t>
        </r>
      </text>
    </comment>
    <comment ref="B168" authorId="0" shapeId="0" xr:uid="{0FAD03E4-293B-4789-B871-8782A1FACBD0}">
      <text>
        <r>
          <rPr>
            <sz val="10"/>
            <color rgb="FF000000"/>
            <rFont val="Arial"/>
          </rPr>
          <t>Felt in Milan and Florence</t>
        </r>
      </text>
    </comment>
    <comment ref="G168" authorId="0" shapeId="0" xr:uid="{299BB82E-BEE4-43B1-8B98-E3868463A59F}">
      <text>
        <r>
          <rPr>
            <sz val="10"/>
            <color rgb="FF000000"/>
            <rFont val="Arial"/>
          </rPr>
          <t>1 heart attack</t>
        </r>
      </text>
    </comment>
    <comment ref="B169" authorId="0" shapeId="0" xr:uid="{57D0BA4B-533D-4820-A64C-A2B4A8F47413}">
      <text>
        <r>
          <rPr>
            <sz val="10"/>
            <color rgb="FF000000"/>
            <rFont val="Arial"/>
          </rPr>
          <t>Felt in Dempasar, Bali</t>
        </r>
      </text>
    </comment>
    <comment ref="H169" authorId="0" shapeId="0" xr:uid="{4ACBF202-50A6-424E-BDBF-0C63E6A58EE7}">
      <text>
        <r>
          <rPr>
            <sz val="10"/>
            <color rgb="FF000000"/>
            <rFont val="Arial"/>
          </rPr>
          <t>Several thousands buildings damaged / collapsed</t>
        </r>
      </text>
    </comment>
    <comment ref="B173" authorId="0" shapeId="0" xr:uid="{130A5248-496A-4A00-886E-6CCC0A3AAB63}">
      <text>
        <r>
          <rPr>
            <sz val="10"/>
            <color rgb="FF000000"/>
            <rFont val="Arial"/>
          </rPr>
          <t>Felt weakly in Kathmandu</t>
        </r>
      </text>
    </comment>
    <comment ref="G173" authorId="0" shapeId="0" xr:uid="{05E3B2D6-19B1-4CDD-9322-EDB4C0171D74}">
      <text>
        <r>
          <rPr>
            <sz val="10"/>
            <color rgb="FF000000"/>
            <rFont val="Arial"/>
          </rPr>
          <t>injuries due to panic</t>
        </r>
      </text>
    </comment>
    <comment ref="F177" authorId="0" shapeId="0" xr:uid="{48AFAAAE-5652-43D3-8876-EE3EEB595B5E}">
      <text>
        <r>
          <rPr>
            <sz val="10"/>
            <color rgb="FF000000"/>
            <rFont val="Arial"/>
          </rPr>
          <t>6 missed</t>
        </r>
      </text>
    </comment>
    <comment ref="B178" authorId="0" shapeId="0" xr:uid="{9FD508E0-B26A-48EA-A5DD-657B3350D0D7}">
      <text>
        <r>
          <rPr>
            <sz val="10"/>
            <color rgb="FF000000"/>
            <rFont val="Arial"/>
          </rPr>
          <t>Felt in Athens</t>
        </r>
      </text>
    </comment>
    <comment ref="B179" authorId="0" shapeId="0" xr:uid="{323BF298-BCF3-474B-A02F-9EF2257AB43B}">
      <text>
        <r>
          <rPr>
            <sz val="10"/>
            <color rgb="FF000000"/>
            <rFont val="Arial"/>
          </rPr>
          <t>Felt in Kampala</t>
        </r>
      </text>
    </comment>
    <comment ref="B181" authorId="0" shapeId="0" xr:uid="{3DA7ABDB-B8CD-46D0-A397-9A19EB3E3621}">
      <text>
        <r>
          <rPr>
            <sz val="10"/>
            <color rgb="FF000000"/>
            <rFont val="Arial"/>
          </rPr>
          <t>Felt in Budapest</t>
        </r>
      </text>
    </comment>
    <comment ref="C182" authorId="0" shapeId="0" xr:uid="{171A108A-E117-443F-882C-089226166EF6}">
      <text>
        <r>
          <rPr>
            <sz val="10"/>
            <color rgb="FF000000"/>
            <rFont val="Arial"/>
          </rPr>
          <t>natural gas extraction</t>
        </r>
      </text>
    </comment>
    <comment ref="B183" authorId="0" shapeId="0" xr:uid="{BB329AF4-C3B8-4631-A6A9-57F377019AED}">
      <text>
        <r>
          <rPr>
            <sz val="10"/>
            <color rgb="FF000000"/>
            <rFont val="Arial"/>
          </rPr>
          <t xml:space="preserve">Felt in Athens
</t>
        </r>
      </text>
    </comment>
    <comment ref="H183" authorId="0" shapeId="0" xr:uid="{9CA1BF8F-4111-4B25-B52A-54045A854579}">
      <text>
        <r>
          <rPr>
            <sz val="10"/>
            <color rgb="FF000000"/>
            <rFont val="Arial"/>
          </rPr>
          <t>More houses damaged ; Same town like on July 2nd affected</t>
        </r>
      </text>
    </comment>
    <comment ref="B184" authorId="0" shapeId="0" xr:uid="{2D7AFD5F-81C7-4506-937D-31666C18E9CC}">
      <text>
        <r>
          <rPr>
            <sz val="10"/>
            <color rgb="FF000000"/>
            <rFont val="Arial"/>
          </rPr>
          <t>Felt in Kampala (Uganda), Kigali (Rwanda) and Juba (South Sudan). Also felt in parts of DR Congo, Tanzania, Kenya and Burundi.</t>
        </r>
      </text>
    </comment>
    <comment ref="B185" authorId="0" shapeId="0" xr:uid="{85EA21DC-BDFA-4A55-8891-78E90E6B53B7}">
      <text>
        <r>
          <rPr>
            <sz val="10"/>
            <color rgb="FF000000"/>
            <rFont val="Arial"/>
          </rPr>
          <t>Felt in Jakarta</t>
        </r>
      </text>
    </comment>
    <comment ref="C187" authorId="0" shapeId="0" xr:uid="{6EAEB29A-C05E-44AE-B8E8-F414BDB5AD3B}">
      <text>
        <r>
          <rPr>
            <sz val="10"/>
            <color rgb="FF000000"/>
            <rFont val="Arial"/>
          </rPr>
          <t>mining</t>
        </r>
      </text>
    </comment>
    <comment ref="H187" authorId="0" shapeId="0" xr:uid="{185DC22A-7A81-4DF7-9BF2-4C862D625433}">
      <text>
        <r>
          <rPr>
            <sz val="10"/>
            <color rgb="FF000000"/>
            <rFont val="Arial"/>
          </rPr>
          <t>Some buildings suffered (additional) cracks</t>
        </r>
      </text>
    </comment>
    <comment ref="B189" authorId="0" shapeId="0" xr:uid="{466847DD-B002-4B54-970D-8798FFD04F58}">
      <text>
        <r>
          <rPr>
            <sz val="10"/>
            <color rgb="FF000000"/>
            <rFont val="Arial"/>
          </rPr>
          <t>Felt in Santo Domingo</t>
        </r>
      </text>
    </comment>
    <comment ref="C190" authorId="0" shapeId="0" xr:uid="{5AB7FB95-E1A6-4B94-9ED4-4D23BED2C3FC}">
      <text>
        <r>
          <rPr>
            <sz val="10"/>
            <color rgb="FF000000"/>
            <rFont val="Arial"/>
          </rPr>
          <t>swarm of foreshocks, volcanic origin</t>
        </r>
      </text>
    </comment>
    <comment ref="H190" authorId="0" shapeId="0" xr:uid="{3DE903FA-F001-493C-A2F9-0C095362E922}">
      <text>
        <r>
          <rPr>
            <sz val="10"/>
            <color rgb="FF000000"/>
            <rFont val="Arial"/>
          </rPr>
          <t>damaged walls</t>
        </r>
      </text>
    </comment>
    <comment ref="C191" authorId="0" shapeId="0" xr:uid="{554E48FE-8CBF-45EB-B666-DB64AF0C1B2C}">
      <text>
        <r>
          <rPr>
            <sz val="10"/>
            <color rgb="FF000000"/>
            <rFont val="Arial"/>
          </rPr>
          <t>volcanic origin</t>
        </r>
      </text>
    </comment>
    <comment ref="B192" authorId="0" shapeId="0" xr:uid="{8AB75567-ACF7-41E3-A416-011023447CF2}">
      <text>
        <r>
          <rPr>
            <sz val="10"/>
            <color rgb="FF000000"/>
            <rFont val="Arial"/>
          </rPr>
          <t>Felt moderately in Algier</t>
        </r>
      </text>
    </comment>
    <comment ref="B194" authorId="0" shapeId="0" xr:uid="{74CE3839-8039-4204-AD0C-51B074E1FA82}">
      <text>
        <r>
          <rPr>
            <sz val="10"/>
            <color rgb="FF000000"/>
            <rFont val="Arial"/>
          </rPr>
          <t>Felt in St. Gallen</t>
        </r>
      </text>
    </comment>
    <comment ref="B195" authorId="0" shapeId="0" xr:uid="{38B57828-46D6-4288-BB66-1B5D3E589995}">
      <text>
        <r>
          <rPr>
            <sz val="10"/>
            <color rgb="FF000000"/>
            <rFont val="Arial"/>
          </rPr>
          <t>strongly felt in Ancona</t>
        </r>
      </text>
    </comment>
    <comment ref="B196" authorId="0" shapeId="0" xr:uid="{1CAA92BE-470D-4FC2-A6D4-31AD9766592C}">
      <text>
        <r>
          <rPr>
            <sz val="10"/>
            <color rgb="FF000000"/>
            <rFont val="Arial"/>
          </rPr>
          <t>felt strongly in Wellington, also felt in Christchurch and Auckland</t>
        </r>
      </text>
    </comment>
    <comment ref="F197" authorId="0" shapeId="0" xr:uid="{12FF18CF-2696-4D6E-8110-F0FB7063A768}">
      <text>
        <r>
          <rPr>
            <sz val="10"/>
            <color rgb="FF000000"/>
            <rFont val="Arial"/>
          </rPr>
          <t>up to 103 fatalities reported</t>
        </r>
      </text>
    </comment>
    <comment ref="C199" authorId="0" shapeId="0" xr:uid="{B0F49950-230E-494C-B536-BA67F95D8C35}">
      <text>
        <r>
          <rPr>
            <sz val="10"/>
            <color rgb="FF000000"/>
            <rFont val="Arial"/>
          </rPr>
          <t>volcanic origin</t>
        </r>
      </text>
    </comment>
    <comment ref="B203" authorId="0" shapeId="0" xr:uid="{778B4526-B391-4CE4-9CAD-C2C5811F6980}">
      <text>
        <r>
          <rPr>
            <sz val="10"/>
            <color rgb="FF000000"/>
            <rFont val="Arial"/>
          </rPr>
          <t>Felt in Istanbul</t>
        </r>
      </text>
    </comment>
    <comment ref="B204" authorId="0" shapeId="0" xr:uid="{785F6454-926A-4F98-BEE9-780EEBA1E854}">
      <text>
        <r>
          <rPr>
            <sz val="10"/>
            <color rgb="FF000000"/>
            <rFont val="Arial"/>
          </rPr>
          <t>Felt with weak intensity in Zagreb (Croatia), Ljubljana (Slowenia), Banja Luka (Bosnia-Herzeowina) and Trieste (Italy)</t>
        </r>
      </text>
    </comment>
    <comment ref="B205" authorId="0" shapeId="0" xr:uid="{A1D1C69C-7D71-4E36-A1E3-4D5A9C0FB2E7}">
      <text>
        <r>
          <rPr>
            <sz val="10"/>
            <color rgb="FF000000"/>
            <rFont val="Arial"/>
          </rPr>
          <t>Felt as far as Islamabad, Pakistan</t>
        </r>
      </text>
    </comment>
    <comment ref="B206" authorId="0" shapeId="0" xr:uid="{FEE262B0-F4A2-4BE1-90D0-57E2C78698C7}">
      <text>
        <r>
          <rPr>
            <sz val="10"/>
            <color rgb="FF000000"/>
            <rFont val="Arial"/>
          </rPr>
          <t>Also felt in Islamabad</t>
        </r>
      </text>
    </comment>
    <comment ref="B208" authorId="0" shapeId="0" xr:uid="{B3BF7412-BADB-494D-B475-CD7B72A2E7E1}">
      <text>
        <r>
          <rPr>
            <sz val="10"/>
            <color rgb="FF000000"/>
            <rFont val="Arial"/>
          </rPr>
          <t>Felt in Tokyo</t>
        </r>
      </text>
    </comment>
    <comment ref="B210" authorId="0" shapeId="0" xr:uid="{A48A5E01-FC5B-4ED0-93B4-F509B32D0F80}">
      <text>
        <r>
          <rPr>
            <sz val="10"/>
            <color rgb="FF000000"/>
            <rFont val="Arial"/>
          </rPr>
          <t>Felt in Athens</t>
        </r>
      </text>
    </comment>
    <comment ref="C211" authorId="0" shapeId="0" xr:uid="{A44D0DE9-DBD9-4519-BC5F-CCD781166243}">
      <text>
        <r>
          <rPr>
            <sz val="10"/>
            <color rgb="FF000000"/>
            <rFont val="Arial"/>
          </rPr>
          <t>Quake data unknown</t>
        </r>
      </text>
    </comment>
    <comment ref="H211" authorId="0" shapeId="0" xr:uid="{CCDB5FF4-3086-432E-960A-6F1FEF4892C0}">
      <text>
        <r>
          <rPr>
            <sz val="10"/>
            <color rgb="FF000000"/>
            <rFont val="Arial"/>
          </rPr>
          <t>Many houses cracked</t>
        </r>
      </text>
    </comment>
    <comment ref="B212" authorId="0" shapeId="0" xr:uid="{B2222F41-FB07-45BA-BDD9-8205B20C1514}">
      <text>
        <r>
          <rPr>
            <sz val="10"/>
            <color rgb="FF000000"/>
            <rFont val="Arial"/>
          </rPr>
          <t>Felt moderately in Innsbruck, also felt in southern Germany</t>
        </r>
      </text>
    </comment>
    <comment ref="B213" authorId="0" shapeId="0" xr:uid="{6F9D3192-1E3C-4150-8640-C7FD1CABB38B}">
      <text>
        <r>
          <rPr>
            <sz val="10"/>
            <color rgb="FF000000"/>
            <rFont val="Arial"/>
          </rPr>
          <t>Felt in Athens</t>
        </r>
      </text>
    </comment>
    <comment ref="H213" authorId="0" shapeId="0" xr:uid="{A71C87DD-8C94-4E36-BBC2-C200BE55B22E}">
      <text>
        <r>
          <rPr>
            <sz val="10"/>
            <color rgb="FF000000"/>
            <rFont val="Arial"/>
          </rPr>
          <t>Additional damage (see quake on August 7th)</t>
        </r>
      </text>
    </comment>
    <comment ref="H214" authorId="0" shapeId="0" xr:uid="{B6F75A81-881E-49DE-86C9-7544EAC6D249}">
      <text>
        <r>
          <rPr>
            <sz val="10"/>
            <color rgb="FF000000"/>
            <rFont val="Arial"/>
          </rPr>
          <t>Many houses cracked</t>
        </r>
      </text>
    </comment>
    <comment ref="H215" authorId="0" shapeId="0" xr:uid="{5C388A56-E91B-4DFF-99C0-F561962661B7}">
      <text>
        <r>
          <rPr>
            <sz val="10"/>
            <color rgb="FF000000"/>
            <rFont val="Arial"/>
          </rPr>
          <t>Cracks in houses of different towns reported</t>
        </r>
      </text>
    </comment>
    <comment ref="C219" authorId="0" shapeId="0" xr:uid="{FE06F2DD-6011-4835-B117-AD6EBD2C01F0}">
      <text>
        <r>
          <rPr>
            <sz val="10"/>
            <color rgb="FF000000"/>
            <rFont val="Arial"/>
          </rPr>
          <t>Double quake 4.2 / 4.1</t>
        </r>
      </text>
    </comment>
    <comment ref="H219" authorId="0" shapeId="0" xr:uid="{521E9D56-1FCA-4714-9691-FC519E561E5A}">
      <text>
        <r>
          <rPr>
            <sz val="10"/>
            <color rgb="FF000000"/>
            <rFont val="Arial"/>
          </rPr>
          <t>cracked buildings</t>
        </r>
      </text>
    </comment>
    <comment ref="B220" authorId="0" shapeId="0" xr:uid="{B5CA6F80-0862-49DF-8A40-B1C13FB65DB6}">
      <text>
        <r>
          <rPr>
            <sz val="10"/>
            <color rgb="FF000000"/>
            <rFont val="Arial"/>
          </rPr>
          <t>Felt in Various parts of New Zealand</t>
        </r>
      </text>
    </comment>
    <comment ref="B225" authorId="0" shapeId="0" xr:uid="{9871380C-13BF-4968-98D2-6E11F09D6BAC}">
      <text>
        <r>
          <rPr>
            <sz val="10"/>
            <color rgb="FF000000"/>
            <rFont val="Arial"/>
          </rPr>
          <t>5,1</t>
        </r>
      </text>
    </comment>
    <comment ref="H225" authorId="0" shapeId="0" xr:uid="{6862C8CB-E129-43CB-AB98-DDD68E4F37EC}">
      <text>
        <r>
          <rPr>
            <sz val="10"/>
            <color rgb="FF000000"/>
            <rFont val="Arial"/>
          </rPr>
          <t>1 house in Mexico City collapsed, injuring 2 people</t>
        </r>
      </text>
    </comment>
    <comment ref="G226" authorId="0" shapeId="0" xr:uid="{FB3964F2-33A2-4EA8-B41E-DE3E2D77D8A3}">
      <text>
        <r>
          <rPr>
            <sz val="10"/>
            <color rgb="FF000000"/>
            <rFont val="Arial"/>
          </rPr>
          <t>Many panic releated injuries in Bursa area</t>
        </r>
      </text>
    </comment>
    <comment ref="H226" authorId="0" shapeId="0" xr:uid="{C5C9AAAE-B2F9-4F77-A5EF-943F3A776161}">
      <text>
        <r>
          <rPr>
            <sz val="10"/>
            <color rgb="FF000000"/>
            <rFont val="Arial"/>
          </rPr>
          <t>power outage, some cracks in houses</t>
        </r>
      </text>
    </comment>
    <comment ref="H227" authorId="0" shapeId="0" xr:uid="{EB2ABC03-7569-402A-9484-B2798E39CA45}">
      <text>
        <r>
          <rPr>
            <sz val="10"/>
            <color rgb="FF000000"/>
            <rFont val="Arial"/>
          </rPr>
          <t>1 house collapsed</t>
        </r>
      </text>
    </comment>
    <comment ref="H228" authorId="0" shapeId="0" xr:uid="{37D9F216-63D6-4A63-801D-68A7E7400555}">
      <text>
        <r>
          <rPr>
            <sz val="10"/>
            <color rgb="FF000000"/>
            <rFont val="Arial"/>
          </rPr>
          <t xml:space="preserve">one building slightly damaged
</t>
        </r>
      </text>
    </comment>
    <comment ref="B229" authorId="0" shapeId="0" xr:uid="{7B8D4C58-34BE-4DAE-821A-B4F252325B71}">
      <text>
        <r>
          <rPr>
            <sz val="10"/>
            <color rgb="FF000000"/>
            <rFont val="Arial"/>
          </rPr>
          <t>Felt strongly in Acapulco, also felt in Mexico City</t>
        </r>
      </text>
    </comment>
    <comment ref="B233" authorId="0" shapeId="0" xr:uid="{F0986BF3-A254-4DBC-A3CB-377968DD460E}">
      <text>
        <r>
          <rPr>
            <sz val="10"/>
            <color rgb="FF000000"/>
            <rFont val="Arial"/>
          </rPr>
          <t>Felt in Tegucigalpa</t>
        </r>
      </text>
    </comment>
    <comment ref="B236" authorId="0" shapeId="0" xr:uid="{D9EE441A-70A0-4E85-82D0-F6ECBD707AB6}">
      <text>
        <r>
          <rPr>
            <sz val="10"/>
            <color rgb="FF000000"/>
            <rFont val="Arial"/>
          </rPr>
          <t>Felt in Cali</t>
        </r>
      </text>
    </comment>
    <comment ref="H238" authorId="0" shapeId="0" xr:uid="{B0FF1F9D-66DB-46EB-8022-2EADF3BAFEFA}">
      <text>
        <r>
          <rPr>
            <sz val="10"/>
            <color rgb="FF000000"/>
            <rFont val="Arial"/>
          </rPr>
          <t>1 building severely damaged / had to be evacuated</t>
        </r>
      </text>
    </comment>
    <comment ref="B240" authorId="0" shapeId="0" xr:uid="{D1235C4E-33DD-4C9F-8B35-1C6D21D617AE}">
      <text>
        <r>
          <rPr>
            <sz val="10"/>
            <color rgb="FF000000"/>
            <rFont val="Arial"/>
          </rPr>
          <t>Felt strongly in Urumqi</t>
        </r>
      </text>
    </comment>
    <comment ref="B242" authorId="0" shapeId="0" xr:uid="{46D7F032-2B44-4C43-84F3-9E44B3D20219}">
      <text>
        <r>
          <rPr>
            <sz val="10"/>
            <color rgb="FF000000"/>
            <rFont val="Arial"/>
          </rPr>
          <t>Felt strongly in Kathmandu, Nepal</t>
        </r>
      </text>
    </comment>
    <comment ref="G242" authorId="0" shapeId="0" xr:uid="{179B833E-695A-429D-9D44-7D3D15B6A7BA}">
      <text>
        <r>
          <rPr>
            <sz val="10"/>
            <color rgb="FF000000"/>
            <rFont val="Arial"/>
          </rPr>
          <t>3 people in Kathmandu (Nepal) injured by panic</t>
        </r>
      </text>
    </comment>
    <comment ref="H245" authorId="0" shapeId="0" xr:uid="{AB2A2DB0-9FB2-48C5-8795-7F96CDAEF0B3}">
      <text>
        <r>
          <rPr>
            <sz val="10"/>
            <color rgb="FF000000"/>
            <rFont val="Arial"/>
          </rPr>
          <t>Fallen parts of ceiling in one store</t>
        </r>
      </text>
    </comment>
    <comment ref="H246" authorId="0" shapeId="0" xr:uid="{9323134D-7691-493A-97D1-F8117EC90743}">
      <text>
        <r>
          <rPr>
            <sz val="10"/>
            <color rgb="FF000000"/>
            <rFont val="Arial"/>
          </rPr>
          <t>More damaged houses in J&amp;K</t>
        </r>
      </text>
    </comment>
    <comment ref="C249" authorId="0" shapeId="0" xr:uid="{F849120E-B194-47D2-8808-A7B5A3284A60}">
      <text>
        <r>
          <rPr>
            <sz val="10"/>
            <color rgb="FF000000"/>
            <rFont val="Arial"/>
          </rPr>
          <t>induced</t>
        </r>
      </text>
    </comment>
    <comment ref="C250" authorId="0" shapeId="0" xr:uid="{8419CB6F-4ED3-43D6-8FE1-325844C44943}">
      <text>
        <r>
          <rPr>
            <sz val="10"/>
            <color rgb="FF000000"/>
            <rFont val="Arial"/>
          </rPr>
          <t>swarm of probably mining induced quake in August and September, biggest one on September 4th</t>
        </r>
      </text>
    </comment>
    <comment ref="H250" authorId="0" shapeId="0" xr:uid="{9236729D-3067-47EC-8E39-1D5F0FD53E5D}">
      <text>
        <r>
          <rPr>
            <sz val="10"/>
            <color rgb="FF000000"/>
            <rFont val="Arial"/>
          </rPr>
          <t xml:space="preserve">many houses cracked
</t>
        </r>
      </text>
    </comment>
    <comment ref="B251" authorId="0" shapeId="0" xr:uid="{5F1288D9-5350-4FC7-B6D4-44FBAFB14E53}">
      <text>
        <r>
          <rPr>
            <sz val="10"/>
            <color rgb="FF000000"/>
            <rFont val="Arial"/>
          </rPr>
          <t>Felt strongly in Wellington</t>
        </r>
      </text>
    </comment>
    <comment ref="H251" authorId="0" shapeId="0" xr:uid="{B2F9B8F2-9E0B-4430-B400-7B8B01228B8D}">
      <text>
        <r>
          <rPr>
            <sz val="10"/>
            <color rgb="FF000000"/>
            <rFont val="Arial"/>
          </rPr>
          <t>small cracks in a few walls, reported on social networks</t>
        </r>
      </text>
    </comment>
    <comment ref="B252" authorId="0" shapeId="0" xr:uid="{9385CC24-601A-4589-A082-4723E7CEDB87}">
      <text>
        <r>
          <rPr>
            <sz val="10"/>
            <color rgb="FF000000"/>
            <rFont val="Arial"/>
          </rPr>
          <t>Felt in many parts of Guatemala, also in southern Mexico and parts of El Salvador</t>
        </r>
      </text>
    </comment>
    <comment ref="F252" authorId="0" shapeId="0" xr:uid="{8832B440-B44C-4806-96F8-CBEA68DDE230}">
      <text>
        <r>
          <rPr>
            <sz val="10"/>
            <color rgb="FF000000"/>
            <rFont val="Arial"/>
          </rPr>
          <t>70 years old woman who died by heart attack was preliminary thought to be connected with the quake, but this was not confirmed later. (Car accident as most probable reason for heart attack)
One teenager died a week after the quake due to his fatal head injuries.</t>
        </r>
      </text>
    </comment>
    <comment ref="G252" authorId="0" shapeId="0" xr:uid="{138291B8-8BCC-4675-B807-396D51657698}">
      <text>
        <r>
          <rPr>
            <sz val="10"/>
            <color rgb="FF000000"/>
            <rFont val="Arial"/>
          </rPr>
          <t>estimated ; final number not known yet</t>
        </r>
      </text>
    </comment>
    <comment ref="B255" authorId="0" shapeId="0" xr:uid="{E4195B2A-AA95-4A3C-AB80-B96F76562FB5}">
      <text>
        <r>
          <rPr>
            <sz val="10"/>
            <color rgb="FF000000"/>
            <rFont val="Arial"/>
          </rPr>
          <t>Felt in Athens</t>
        </r>
      </text>
    </comment>
    <comment ref="B256" authorId="0" shapeId="0" xr:uid="{A0D62334-D0C5-4F74-89EC-B5AAA66428A1}">
      <text>
        <r>
          <rPr>
            <sz val="10"/>
            <color rgb="FF000000"/>
            <rFont val="Arial"/>
          </rPr>
          <t>Felt in Tbilisi</t>
        </r>
      </text>
    </comment>
    <comment ref="B260" authorId="0" shapeId="0" xr:uid="{05962133-C87F-47E9-A5C3-E213874B7DD0}">
      <text>
        <r>
          <rPr>
            <sz val="10"/>
            <color rgb="FF000000"/>
            <rFont val="Arial"/>
          </rPr>
          <t>Felt in Tokyo</t>
        </r>
      </text>
    </comment>
    <comment ref="B262" authorId="0" shapeId="0" xr:uid="{10D952FA-31CD-428A-AEE1-049898A76791}">
      <text>
        <r>
          <rPr>
            <sz val="10"/>
            <color rgb="FF000000"/>
            <rFont val="Arial"/>
          </rPr>
          <t>Felt in Vienna</t>
        </r>
      </text>
    </comment>
    <comment ref="H263" authorId="0" shapeId="0" xr:uid="{92830F71-3C40-45E8-9D47-0035DDFC94C7}">
      <text>
        <r>
          <rPr>
            <sz val="10"/>
            <color rgb="FF000000"/>
            <rFont val="Arial"/>
          </rPr>
          <t>A few hundred buildings damaged, some severely, a few were destryed by a landslide. Mostly already damaged buildings (from last year's quake) suffered new damage</t>
        </r>
      </text>
    </comment>
    <comment ref="H264" authorId="0" shapeId="0" xr:uid="{138F1FF6-4C6E-4177-BD79-183BDA730957}">
      <text>
        <r>
          <rPr>
            <sz val="10"/>
            <color rgb="FF000000"/>
            <rFont val="Arial"/>
          </rPr>
          <t>Quake of unknown magnitude damaged some houses (cracked walls) in Nasvari District</t>
        </r>
      </text>
    </comment>
    <comment ref="H269" authorId="0" shapeId="0" xr:uid="{F47921FE-D234-43FE-87FF-0EF8A22D7413}">
      <text>
        <r>
          <rPr>
            <sz val="10"/>
            <color rgb="FF000000"/>
            <rFont val="Arial"/>
          </rPr>
          <t>Damaged and maybe collapsed houses by unregistered earthquake near Indore</t>
        </r>
      </text>
    </comment>
    <comment ref="B270" authorId="0" shapeId="0" xr:uid="{182B69F9-2DC9-492E-9AF6-73403A7989F0}">
      <text>
        <r>
          <rPr>
            <sz val="10"/>
            <color rgb="FF000000"/>
            <rFont val="Arial"/>
          </rPr>
          <t>Felt in New Dehli (India), Dubai (UAE) and Muscat (Oman)</t>
        </r>
      </text>
    </comment>
    <comment ref="I270" authorId="0" shapeId="0" xr:uid="{40B31C28-A67E-45C5-8F80-3B4CB00D0CF2}">
      <text>
        <r>
          <rPr>
            <sz val="10"/>
            <color rgb="FF000000"/>
            <rFont val="Arial"/>
          </rPr>
          <t>Highest amplitude in Muscat, Oman</t>
        </r>
      </text>
    </comment>
    <comment ref="H271" authorId="0" shapeId="0" xr:uid="{B32125ED-FED4-410C-88C4-D835FB6A254D}">
      <text>
        <r>
          <rPr>
            <sz val="10"/>
            <color rgb="FF000000"/>
            <rFont val="Arial"/>
          </rPr>
          <t>Cracked plaster</t>
        </r>
      </text>
    </comment>
    <comment ref="B272" authorId="0" shapeId="0" xr:uid="{9BD78061-8880-45B5-8F6B-BDF0943AAFE5}">
      <text>
        <r>
          <rPr>
            <sz val="10"/>
            <color rgb="FF000000"/>
            <rFont val="Arial"/>
          </rPr>
          <t>Felt in Lima</t>
        </r>
      </text>
    </comment>
    <comment ref="H276" authorId="0" shapeId="0" xr:uid="{DEA38651-63DF-4EE5-9758-B2135A718C25}">
      <text>
        <r>
          <rPr>
            <sz val="10"/>
            <color rgb="FF000000"/>
            <rFont val="Arial"/>
          </rPr>
          <t>Cracked plaster and walls</t>
        </r>
      </text>
    </comment>
    <comment ref="H277" authorId="0" shapeId="0" xr:uid="{6E049041-74F4-409E-87B3-E368270362C2}">
      <text>
        <r>
          <rPr>
            <sz val="10"/>
            <color rgb="FF000000"/>
            <rFont val="Arial"/>
          </rPr>
          <t>cracked plaster</t>
        </r>
      </text>
    </comment>
    <comment ref="B279" authorId="0" shapeId="0" xr:uid="{8247BE36-1E48-47B0-B225-EB19187D12E8}">
      <text>
        <r>
          <rPr>
            <sz val="10"/>
            <color rgb="FF000000"/>
            <rFont val="Arial"/>
          </rPr>
          <t>Felt in Vienna, also felt in parts of Slovakia (Bratislava), Hungary and Czech Republic</t>
        </r>
      </text>
    </comment>
    <comment ref="B282" authorId="0" shapeId="0" xr:uid="{DD6CE819-FA4E-4C48-AF19-6F9A6E6A65BF}">
      <text>
        <r>
          <rPr>
            <sz val="10"/>
            <color rgb="FF000000"/>
            <rFont val="Arial"/>
          </rPr>
          <t>Felt in Chengdu</t>
        </r>
      </text>
    </comment>
    <comment ref="B285" authorId="0" shapeId="0" xr:uid="{DEF0E7AE-CB15-4128-AE12-B0A4C6DAC74C}">
      <text>
        <r>
          <rPr>
            <sz val="10"/>
            <color rgb="FF000000"/>
            <rFont val="Arial"/>
          </rPr>
          <t>Felt (V) in Bucharest ; Felt (IV) in Chisinau (Moldovia) and Odessa (Ukraine) ; Felt (III) in Varna (Bulgaria) ; Felt (II) in eastern Hungary</t>
        </r>
      </text>
    </comment>
    <comment ref="H288" authorId="0" shapeId="0" xr:uid="{A3B6087E-7D02-44E4-8C02-FB4B0948177E}">
      <text>
        <r>
          <rPr>
            <sz val="10"/>
            <color rgb="FF000000"/>
            <rFont val="Arial"/>
          </rPr>
          <t>Some houses damaged</t>
        </r>
      </text>
    </comment>
    <comment ref="H289" authorId="0" shapeId="0" xr:uid="{B46DA5F7-0423-4CB7-B88F-BB2988796EE9}">
      <text>
        <r>
          <rPr>
            <sz val="10"/>
            <color rgb="FF000000"/>
            <rFont val="Arial"/>
          </rPr>
          <t>10 houses slightly damaged + blackout in parts of Venezuela and Trinidad&amp;Tobago</t>
        </r>
      </text>
    </comment>
    <comment ref="B290" authorId="0" shapeId="0" xr:uid="{C009F52D-E3B7-43F7-9961-D96302DDA494}">
      <text>
        <r>
          <rPr>
            <sz val="10"/>
            <color rgb="FF000000"/>
            <rFont val="Arial"/>
          </rPr>
          <t>Felt in Athens, Southern Italy, Valetta (Malta), Bengasi (Libya), Cairo (Egypt), Jerusalem (Israel)</t>
        </r>
      </text>
    </comment>
    <comment ref="H291" authorId="0" shapeId="0" xr:uid="{8CB9921C-9791-4A44-ACE0-F66B29BBFA89}">
      <text>
        <r>
          <rPr>
            <sz val="10"/>
            <color rgb="FF000000"/>
            <rFont val="Arial"/>
          </rPr>
          <t>1 house collapsed</t>
        </r>
      </text>
    </comment>
    <comment ref="H292" authorId="0" shapeId="0" xr:uid="{E114F2DE-C56C-47F9-9E84-9FB8ECF7F5FD}">
      <text>
        <r>
          <rPr>
            <sz val="10"/>
            <color rgb="FF000000"/>
            <rFont val="Arial"/>
          </rPr>
          <t>140 buildings slightly damaged. 6 buildings collapsed</t>
        </r>
      </text>
    </comment>
    <comment ref="F293" authorId="0" shapeId="0" xr:uid="{0EA81B81-1CB2-483D-90EE-121809E5926E}">
      <text>
        <r>
          <rPr>
            <sz val="10"/>
            <color rgb="FF000000"/>
            <rFont val="Arial"/>
          </rPr>
          <t>8 of them still missing</t>
        </r>
      </text>
    </comment>
    <comment ref="H293" authorId="0" shapeId="0" xr:uid="{43FF7DCE-CE32-44D8-89E5-11CEE17B147D}">
      <text>
        <r>
          <rPr>
            <sz val="10"/>
            <color rgb="FF000000"/>
            <rFont val="Arial"/>
          </rPr>
          <t>- 215 dead and 8 missing (209dm on Bohol, 13 in Cebu, 1 in Siquijor)
- At least 25 deaths due to landslides. At least 10 non-structural deaths. At least 10 heart attacks or panic deaths, with reasons still needed for many of the deaths.
- 742 injured
- 92,678 people inside 265 evacuation centers (presumed homeless)
- 259,399 people additionally requiring basic needs (outside of evacuation centers)
- 12,753 totally destroyed houses, 45,167 partially destroyed houses.
- 2.2 billion PHP damage to roads, bridges, flood control, school buildings, hospitals and other public buildings. (this refers to reconstruction cost – thus around 6.5-7.5 billion PHP total reconstruction cost expected).
- Power has nearly been restored to all barangays – 1. Antequera (10/21 still required), 2. Calape (5/33 needed), 3. Catigbian (3/21 needed), 4. Cortes (1/14 needed), 5. Inabanga (4/50 needed), 6. Loon (17/67 needed), 7. Maribojoc (1/22 needed), 8. San Isidro (1/12 needed), 9. Tubigon (2/34 needed).</t>
        </r>
      </text>
    </comment>
    <comment ref="H294" authorId="0" shapeId="0" xr:uid="{2485D7D1-36AF-46E8-8BBB-1BD614C30E51}">
      <text>
        <r>
          <rPr>
            <sz val="10"/>
            <color rgb="FF000000"/>
            <rFont val="Arial"/>
          </rPr>
          <t>new damage</t>
        </r>
      </text>
    </comment>
    <comment ref="H295" authorId="0" shapeId="0" xr:uid="{09E57268-9EF6-49C2-9AB6-AF5F91BA78F5}">
      <text>
        <r>
          <rPr>
            <sz val="10"/>
            <color rgb="FF000000"/>
            <rFont val="Arial"/>
          </rPr>
          <t>Some thousands houses damaged</t>
        </r>
      </text>
    </comment>
    <comment ref="H296" authorId="0" shapeId="0" xr:uid="{52247D05-9A81-452F-85B7-FFA88490AAC9}">
      <text>
        <r>
          <rPr>
            <sz val="10"/>
            <color rgb="FF000000"/>
            <rFont val="Arial"/>
          </rPr>
          <t>34 houses collapsed, 600 damaged</t>
        </r>
      </text>
    </comment>
    <comment ref="C297" authorId="0" shapeId="0" xr:uid="{5FF684BB-E7B8-464C-A293-F2322758A211}">
      <text>
        <r>
          <rPr>
            <sz val="10"/>
            <color rgb="FF000000"/>
            <rFont val="Arial"/>
          </rPr>
          <t>3 quakes (M 5.0 ; 5.0 and 4.0) within 1 hour</t>
        </r>
      </text>
    </comment>
    <comment ref="G297" authorId="0" shapeId="0" xr:uid="{3FBFF1CD-D73C-4875-B003-4ADB4733D731}">
      <text>
        <r>
          <rPr>
            <sz val="10"/>
            <color rgb="FF000000"/>
            <rFont val="Arial"/>
          </rPr>
          <t>Many people with nevous breakdowns</t>
        </r>
      </text>
    </comment>
    <comment ref="H297" authorId="0" shapeId="0" xr:uid="{7512C649-D782-4A92-8C1D-FA42A754A2FC}">
      <text>
        <r>
          <rPr>
            <sz val="10"/>
            <color rgb="FF000000"/>
            <rFont val="Arial"/>
          </rPr>
          <t>Many houses damaged, some severely</t>
        </r>
      </text>
    </comment>
    <comment ref="H299" authorId="0" shapeId="0" xr:uid="{D4D177C4-F829-447C-B007-2477E8AFD6C5}">
      <text>
        <r>
          <rPr>
            <sz val="10"/>
            <color rgb="FF000000"/>
            <rFont val="Arial"/>
          </rPr>
          <t>mud houses in Awaran collapsed</t>
        </r>
      </text>
    </comment>
    <comment ref="H300" authorId="0" shapeId="0" xr:uid="{96D8CBDC-4DBD-49EE-BAB2-D8D31AD2F86D}">
      <text>
        <r>
          <rPr>
            <sz val="10"/>
            <color rgb="FF000000"/>
            <rFont val="Arial"/>
          </rPr>
          <t>many cracked buildings</t>
        </r>
      </text>
    </comment>
    <comment ref="H302" authorId="0" shapeId="0" xr:uid="{CD345DC5-90D9-4F74-8C35-737CC9E8510D}">
      <text>
        <r>
          <rPr>
            <sz val="10"/>
            <color rgb="FF000000"/>
            <rFont val="Arial"/>
          </rPr>
          <t>cracked walls</t>
        </r>
      </text>
    </comment>
    <comment ref="H303" authorId="0" shapeId="0" xr:uid="{28914244-447A-4EFA-BCA1-325D51FC01C3}">
      <text>
        <r>
          <rPr>
            <sz val="10"/>
            <color rgb="FF000000"/>
            <rFont val="Arial"/>
          </rPr>
          <t>minor cracks in walls, broken windows ; 2 small landslides</t>
        </r>
      </text>
    </comment>
    <comment ref="C304" authorId="0" shapeId="0" xr:uid="{B21E84C5-92AA-4AE8-8D50-77DC8770D372}">
      <text>
        <r>
          <rPr>
            <sz val="10"/>
            <color rgb="FF000000"/>
            <rFont val="Arial"/>
          </rPr>
          <t>swarm</t>
        </r>
      </text>
    </comment>
    <comment ref="H304" authorId="0" shapeId="0" xr:uid="{C3FFA4D4-DB27-40D2-855E-008C839EEEEC}">
      <text>
        <r>
          <rPr>
            <sz val="10"/>
            <color rgb="FF000000"/>
            <rFont val="Arial"/>
          </rPr>
          <t>Cracks in houses in Tiberias</t>
        </r>
      </text>
    </comment>
    <comment ref="H305" authorId="0" shapeId="0" xr:uid="{9D72E75C-3CE3-4079-96D6-1D33FCA286F9}">
      <text>
        <r>
          <rPr>
            <sz val="10"/>
            <color rgb="FF000000"/>
            <rFont val="Arial"/>
          </rPr>
          <t>at least 2 houses cracked</t>
        </r>
      </text>
    </comment>
    <comment ref="H306" authorId="0" shapeId="0" xr:uid="{2E3499B6-DA3B-4A1A-A6CB-DBFEBDC276B1}">
      <text>
        <r>
          <rPr>
            <sz val="10"/>
            <color rgb="FF000000"/>
            <rFont val="Arial"/>
          </rPr>
          <t>Additional damage (see quakes on Oct 16th)</t>
        </r>
      </text>
    </comment>
    <comment ref="F307" authorId="0" shapeId="0" xr:uid="{5A69B99D-14BE-47ED-9548-F04C9DF0D7D2}">
      <text>
        <r>
          <rPr>
            <sz val="10"/>
            <color rgb="FF000000"/>
            <rFont val="Arial"/>
          </rPr>
          <t>heart attack</t>
        </r>
      </text>
    </comment>
    <comment ref="H307" authorId="0" shapeId="0" xr:uid="{FC4687C0-738E-4731-887F-57C091B53E4A}">
      <text>
        <r>
          <rPr>
            <sz val="10"/>
            <color rgb="FF000000"/>
            <rFont val="Arial"/>
          </rPr>
          <t>411 buildings (severely) damaged</t>
        </r>
      </text>
    </comment>
    <comment ref="H308" authorId="0" shapeId="0" xr:uid="{D5D3E601-84A4-46D2-9FAF-DF8B788D9CC2}">
      <text>
        <r>
          <rPr>
            <sz val="10"/>
            <color rgb="FF000000"/>
            <rFont val="Arial"/>
          </rPr>
          <t>Tiles fell from walls, windows broke, little crack appeared in a road</t>
        </r>
      </text>
    </comment>
    <comment ref="C309" authorId="0" shapeId="0" xr:uid="{70F839F0-2DD9-4753-A308-E2BAE1F3C06C}">
      <text>
        <r>
          <rPr>
            <sz val="10"/>
            <color rgb="FF000000"/>
            <rFont val="Arial"/>
          </rPr>
          <t>Swarm began on Wednesday with M ~3 earthquakes. Strongest quake (so far) on friday, followed by weaker M 3.3 shock minutes later.</t>
        </r>
      </text>
    </comment>
    <comment ref="H309" authorId="0" shapeId="0" xr:uid="{A340672B-0C7D-42D0-AAFA-3B8EBB0626B2}">
      <text>
        <r>
          <rPr>
            <sz val="10"/>
            <color rgb="FF000000"/>
            <rFont val="Arial"/>
          </rPr>
          <t>Cracks in Walls; schools evacuated</t>
        </r>
      </text>
    </comment>
    <comment ref="H310" authorId="0" shapeId="0" xr:uid="{EC2AFC78-52A9-4092-93D2-0992486E8473}">
      <text>
        <r>
          <rPr>
            <sz val="10"/>
            <color rgb="FF000000"/>
            <rFont val="Arial"/>
          </rPr>
          <t>broken windows</t>
        </r>
      </text>
    </comment>
    <comment ref="B311" authorId="0" shapeId="0" xr:uid="{EFF9A674-9F48-463A-9A68-9D057D3ACEE1}">
      <text>
        <r>
          <rPr>
            <sz val="10"/>
            <color rgb="FF000000"/>
            <rFont val="Arial"/>
          </rPr>
          <t>Felt in Tokyo</t>
        </r>
      </text>
    </comment>
    <comment ref="I311" authorId="0" shapeId="0" xr:uid="{CE7D70DC-B2CB-4162-9F34-C91CE95F3283}">
      <text>
        <r>
          <rPr>
            <sz val="10"/>
            <color rgb="FF000000"/>
            <rFont val="Arial"/>
          </rPr>
          <t>highest amplitude registered on Nuclear Power Plant Onagawa</t>
        </r>
      </text>
    </comment>
    <comment ref="H312" authorId="0" shapeId="0" xr:uid="{373D67DB-D159-48BA-A17F-38CA60A681A2}">
      <text>
        <r>
          <rPr>
            <sz val="10"/>
            <color rgb="FF000000"/>
            <rFont val="Arial"/>
          </rPr>
          <t>dozends buildings cracked</t>
        </r>
      </text>
    </comment>
    <comment ref="B313" authorId="0" shapeId="0" xr:uid="{30A887DB-7FF0-4210-AD61-9B7213F6A9D5}">
      <text>
        <r>
          <rPr>
            <sz val="10"/>
            <color rgb="FF000000"/>
            <rFont val="Arial"/>
          </rPr>
          <t>Felt in San Jose, Costa Rica</t>
        </r>
      </text>
    </comment>
    <comment ref="G313" authorId="0" shapeId="0" xr:uid="{C2FEFA0B-7FD1-4372-B3A3-2744BE9BF403}">
      <text>
        <r>
          <rPr>
            <sz val="10"/>
            <color rgb="FF000000"/>
            <rFont val="Arial"/>
          </rPr>
          <t>fell from a roof</t>
        </r>
      </text>
    </comment>
    <comment ref="H314" authorId="0" shapeId="0" xr:uid="{6252AC2E-A56A-4F91-93E9-20547D094C77}">
      <text>
        <r>
          <rPr>
            <sz val="10"/>
            <color rgb="FF000000"/>
            <rFont val="Arial"/>
          </rPr>
          <t>50 cracked houses</t>
        </r>
      </text>
    </comment>
    <comment ref="H315" authorId="0" shapeId="0" xr:uid="{99210172-A053-446A-8876-EB73D1FAE9D6}">
      <text>
        <r>
          <rPr>
            <sz val="10"/>
            <color rgb="FF000000"/>
            <rFont val="Arial"/>
          </rPr>
          <t>2 houses collapsed, hundreds more damaged</t>
        </r>
      </text>
    </comment>
    <comment ref="H317" authorId="0" shapeId="0" xr:uid="{749043D2-FCC5-4C5C-B65F-68FD88C90CC2}">
      <text>
        <r>
          <rPr>
            <sz val="10"/>
            <color rgb="FF000000"/>
            <rFont val="Arial"/>
          </rPr>
          <t>Mining accident with 9 miners temporarily trapped</t>
        </r>
      </text>
    </comment>
    <comment ref="B318" authorId="0" shapeId="0" xr:uid="{D1602B1C-54FD-45C0-B637-D53736CB2CF4}">
      <text>
        <r>
          <rPr>
            <sz val="10"/>
            <color rgb="FF000000"/>
            <rFont val="Arial"/>
          </rPr>
          <t>Felt in Shengjiang</t>
        </r>
      </text>
    </comment>
    <comment ref="H318" authorId="0" shapeId="0" xr:uid="{E5EF3956-C259-477E-8B5F-AECB8B0DE1CE}">
      <text>
        <r>
          <rPr>
            <sz val="10"/>
            <color rgb="FF000000"/>
            <rFont val="Arial"/>
          </rPr>
          <t>57 houses collapsed, thousands damaged</t>
        </r>
      </text>
    </comment>
    <comment ref="B319" authorId="0" shapeId="0" xr:uid="{509599A2-7374-4D26-9F9E-7AFC3FBAEEDA}">
      <text>
        <r>
          <rPr>
            <sz val="10"/>
            <color rgb="FF000000"/>
            <rFont val="Arial"/>
          </rPr>
          <t>Felt in Taipeh and parts of China (Fujian)</t>
        </r>
      </text>
    </comment>
    <comment ref="H320" authorId="0" shapeId="0" xr:uid="{4ABAD704-F602-417C-9988-B1396AD1C604}">
      <text>
        <r>
          <rPr>
            <sz val="10"/>
            <color rgb="FF000000"/>
            <rFont val="Arial"/>
          </rPr>
          <t>One house cracked</t>
        </r>
      </text>
    </comment>
    <comment ref="B321" authorId="0" shapeId="0" xr:uid="{C0D475F2-907F-498B-8435-1965A3BFB7E0}">
      <text>
        <r>
          <rPr>
            <sz val="10"/>
            <color rgb="FF000000"/>
            <rFont val="Arial"/>
          </rPr>
          <t>strongly felt in Santiago</t>
        </r>
      </text>
    </comment>
    <comment ref="H321" authorId="0" shapeId="0" xr:uid="{C4F4F35E-0EAF-4138-9E02-B3C4C5869D68}">
      <text>
        <r>
          <rPr>
            <sz val="10"/>
            <color rgb="FF000000"/>
            <rFont val="Arial"/>
          </rPr>
          <t>broken windows, power outage in some locations</t>
        </r>
      </text>
    </comment>
    <comment ref="H323" authorId="0" shapeId="0" xr:uid="{7B26688D-EF48-4DCB-9778-504017D926B8}">
      <text>
        <r>
          <rPr>
            <sz val="10"/>
            <color rgb="FF000000"/>
            <rFont val="Arial"/>
          </rPr>
          <t>One house collapsed, killing one boy, injuring his parents</t>
        </r>
      </text>
    </comment>
    <comment ref="H324" authorId="0" shapeId="0" xr:uid="{4123376E-A672-464C-A44E-1352A3D6C29E}">
      <text>
        <r>
          <rPr>
            <sz val="10"/>
            <color rgb="FF000000"/>
            <rFont val="Arial"/>
          </rPr>
          <t>Minor Cracks in some rural houses</t>
        </r>
      </text>
    </comment>
    <comment ref="B325" authorId="0" shapeId="0" xr:uid="{EDD71D31-6B91-46A2-9020-735A206C7C08}">
      <text>
        <r>
          <rPr>
            <sz val="10"/>
            <color rgb="FF000000"/>
            <rFont val="Arial"/>
          </rPr>
          <t>Felt in Oklahoma City</t>
        </r>
      </text>
    </comment>
    <comment ref="H325" authorId="0" shapeId="0" xr:uid="{7D79892A-DA39-4808-87F2-E60F3746BB9F}">
      <text>
        <r>
          <rPr>
            <sz val="10"/>
            <color rgb="FF000000"/>
            <rFont val="Arial"/>
          </rPr>
          <t>Some houses cracked</t>
        </r>
      </text>
    </comment>
    <comment ref="B326" authorId="0" shapeId="0" xr:uid="{CAB7EAFD-BF36-49A4-92B6-25B9314D622A}">
      <text>
        <r>
          <rPr>
            <sz val="10"/>
            <color rgb="FF000000"/>
            <rFont val="Arial"/>
          </rPr>
          <t>Felt in Dhaka, Bangladesh</t>
        </r>
      </text>
    </comment>
    <comment ref="H326" authorId="0" shapeId="0" xr:uid="{F0AE9E7C-1C74-4B10-B751-4B21B22334BA}">
      <text>
        <r>
          <rPr>
            <sz val="10"/>
            <color rgb="FF000000"/>
            <rFont val="Arial"/>
          </rPr>
          <t>many buildings cracked, among them schools and governmental buildings</t>
        </r>
      </text>
    </comment>
    <comment ref="B329" authorId="0" shapeId="0" xr:uid="{29CF7539-206A-41AB-B25F-F94D9C035CB7}">
      <text>
        <r>
          <rPr>
            <sz val="10"/>
            <color rgb="FF000000"/>
            <rFont val="Arial"/>
          </rPr>
          <t>Strongly felt in Dushanbe</t>
        </r>
      </text>
    </comment>
    <comment ref="H329" authorId="0" shapeId="0" xr:uid="{5D52EED5-ED4B-4D7E-AA8F-885E2B20E85E}">
      <text>
        <r>
          <rPr>
            <sz val="10"/>
            <color rgb="FF000000"/>
            <rFont val="Arial"/>
          </rPr>
          <t>More than 100 houses destroyed</t>
        </r>
      </text>
    </comment>
    <comment ref="H333" authorId="0" shapeId="0" xr:uid="{7EDBD90A-5781-4692-ABBC-0F10C4948807}">
      <text>
        <r>
          <rPr>
            <sz val="10"/>
            <color rgb="FF000000"/>
            <rFont val="Arial"/>
          </rPr>
          <t>6 houses collapsed, 20.000+ damaged</t>
        </r>
      </text>
    </comment>
    <comment ref="I334" authorId="0" shapeId="0" xr:uid="{588221D8-31CF-4707-B81D-93634E7EFF0E}">
      <text>
        <r>
          <rPr>
            <sz val="10"/>
            <color rgb="FF000000"/>
            <rFont val="Arial"/>
          </rPr>
          <t>Small tsunami hitting South Georgia Island</t>
        </r>
      </text>
    </comment>
    <comment ref="B336" authorId="0" shapeId="0" xr:uid="{4589AB82-21A4-4770-A35F-359A773B5506}">
      <text>
        <r>
          <rPr>
            <sz val="10"/>
            <color rgb="FF000000"/>
            <rFont val="Arial"/>
          </rPr>
          <t>Felt in Pristina, Felt weakly in Skopje (FYR Macedonia) and Sofia (Bulgaria)</t>
        </r>
      </text>
    </comment>
    <comment ref="B345" authorId="0" shapeId="0" xr:uid="{E978C651-7349-44E7-A289-9CCB82BB5BDD}">
      <text>
        <r>
          <rPr>
            <sz val="10"/>
            <color rgb="FF000000"/>
            <rFont val="Arial"/>
          </rPr>
          <t>Felt in Baghdad</t>
        </r>
      </text>
    </comment>
    <comment ref="B347" authorId="0" shapeId="0" xr:uid="{B8D05291-EA8B-4F4E-9670-89305678E678}">
      <text>
        <r>
          <rPr>
            <sz val="10"/>
            <color rgb="FF000000"/>
            <rFont val="Arial"/>
          </rPr>
          <t>Felt in Baghdad and Kuwait</t>
        </r>
      </text>
    </comment>
    <comment ref="H357" authorId="0" shapeId="0" xr:uid="{5C4A3BAD-E5C4-49A9-B6A1-AA06321821B5}">
      <text>
        <r>
          <rPr>
            <sz val="10"/>
            <color rgb="FF000000"/>
            <rFont val="Arial"/>
          </rPr>
          <t>1 crackes house in San Roque</t>
        </r>
      </text>
    </comment>
    <comment ref="H371" authorId="0" shapeId="0" xr:uid="{350AD53F-1CA1-443E-8D4C-5D2285F5B8AB}">
      <text>
        <r>
          <rPr>
            <sz val="10"/>
            <color rgb="FF000000"/>
            <rFont val="Arial"/>
          </rPr>
          <t>landslide</t>
        </r>
      </text>
    </comment>
    <comment ref="F388" authorId="0" shapeId="0" xr:uid="{430CB26D-729D-47FF-9E06-C8A55D4DD649}">
      <text>
        <r>
          <rPr>
            <sz val="10"/>
            <color rgb="FF000000"/>
            <rFont val="Arial"/>
          </rPr>
          <t>Heart Attack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46B5FFAD-3F6D-4624-979D-EB9041DD5D37}">
      <text>
        <r>
          <rPr>
            <sz val="10"/>
            <color rgb="FF000000"/>
            <rFont val="Arial"/>
          </rPr>
          <t xml:space="preserve">Local observatories preferred, otherwise USGS data </t>
        </r>
      </text>
    </comment>
    <comment ref="F1" authorId="0" shapeId="0" xr:uid="{AFD51A89-2C3E-4CF6-8A04-04F97859BC99}">
      <text>
        <r>
          <rPr>
            <sz val="10"/>
            <color rgb="FF000000"/>
            <rFont val="Arial"/>
          </rPr>
          <t>Including people who died by earthquake releated effects or accidents and longtime (3 days+) missed people.</t>
        </r>
      </text>
    </comment>
    <comment ref="G1" authorId="0" shapeId="0" xr:uid="{839303C6-3C05-4795-8283-F1CBC465750F}">
      <text>
        <r>
          <rPr>
            <sz val="10"/>
            <color rgb="FF000000"/>
            <rFont val="Arial"/>
          </rPr>
          <t>Includes people who suffered injuries by falling objects, earthquake releated accidents or secondary effects.
"Injuries" means that medical help is necessary</t>
        </r>
      </text>
    </comment>
    <comment ref="H1" authorId="0" shapeId="0" xr:uid="{A3F53262-DA7C-471C-A6E3-6AA5833CDAF0}">
      <text>
        <r>
          <rPr>
            <sz val="10"/>
            <color rgb="FF000000"/>
            <rFont val="Arial"/>
          </rPr>
          <t xml:space="preserve">To give an easy overview we do not count the economical loss and only focus on the damage to structures and infrastructure. The extent of the damage makes the damage level. A  mud house in the mountains of Pakistan has the same worth as a brick house in San Francisco. </t>
        </r>
      </text>
    </comment>
    <comment ref="C4" authorId="0" shapeId="0" xr:uid="{23454AB3-2B94-456B-BB1E-FD702E2C002A}">
      <text>
        <r>
          <rPr>
            <sz val="10"/>
            <color rgb="FF000000"/>
            <rFont val="Arial"/>
          </rPr>
          <t>Felt in Bogota</t>
        </r>
      </text>
    </comment>
    <comment ref="C6" authorId="0" shapeId="0" xr:uid="{18925E69-EB21-48B6-BCAA-6963B688E8A0}">
      <text>
        <r>
          <rPr>
            <sz val="10"/>
            <color rgb="FF000000"/>
            <rFont val="Arial"/>
          </rPr>
          <t>reservoir induced</t>
        </r>
      </text>
    </comment>
    <comment ref="H35" authorId="0" shapeId="0" xr:uid="{34C78F2F-867A-44CE-9C10-75231CE95D1A}">
      <text>
        <r>
          <rPr>
            <sz val="10"/>
            <color rgb="FF000000"/>
            <rFont val="Arial"/>
          </rPr>
          <t>1 school with minor damage</t>
        </r>
      </text>
    </comment>
    <comment ref="H36" authorId="0" shapeId="0" xr:uid="{2BA4B9BC-9AFF-48AD-BAB7-5EB322B07372}">
      <text>
        <r>
          <rPr>
            <sz val="10"/>
            <color rgb="FF000000"/>
            <rFont val="Arial"/>
          </rPr>
          <t>additional damage</t>
        </r>
      </text>
    </comment>
    <comment ref="H37" authorId="0" shapeId="0" xr:uid="{7F38C013-3587-4975-B6BC-0CA59FA22A53}">
      <text>
        <r>
          <rPr>
            <sz val="10"/>
            <color rgb="FF000000"/>
            <rFont val="Arial"/>
          </rPr>
          <t>some buildings damaged</t>
        </r>
      </text>
    </comment>
    <comment ref="H38" authorId="0" shapeId="0" xr:uid="{9CB69D97-2758-43DC-BE8C-00222127E55D}">
      <text>
        <r>
          <rPr>
            <sz val="10"/>
            <color rgb="FF000000"/>
            <rFont val="Arial"/>
          </rPr>
          <t>barn damaged</t>
        </r>
      </text>
    </comment>
    <comment ref="C40" authorId="0" shapeId="0" xr:uid="{5C0F3E99-7604-4266-8FD6-5D249167B7C9}">
      <text>
        <r>
          <rPr>
            <sz val="10"/>
            <color rgb="FF000000"/>
            <rFont val="Arial"/>
          </rPr>
          <t>mining induced</t>
        </r>
      </text>
    </comment>
    <comment ref="F40" authorId="0" shapeId="0" xr:uid="{7F97616C-0985-4F1F-8832-72D20F1509CA}">
      <text>
        <r>
          <rPr>
            <sz val="10"/>
            <color rgb="FF000000"/>
            <rFont val="Arial"/>
          </rPr>
          <t>8 miners killed, one still missing</t>
        </r>
      </text>
    </comment>
    <comment ref="H40" authorId="0" shapeId="0" xr:uid="{CE021EDB-DFDA-443B-B44F-4C87F703707B}">
      <text>
        <r>
          <rPr>
            <sz val="10"/>
            <color rgb="FF000000"/>
            <rFont val="Arial"/>
          </rPr>
          <t>quake caused fire in a gold mine</t>
        </r>
      </text>
    </comment>
    <comment ref="H41" authorId="0" shapeId="0" xr:uid="{A3D8D22A-5FC3-4D9B-8FE6-8FA3537E6335}">
      <text>
        <r>
          <rPr>
            <sz val="10"/>
            <color rgb="FF000000"/>
            <rFont val="Arial"/>
          </rPr>
          <t>1 house damaged</t>
        </r>
      </text>
    </comment>
    <comment ref="C42" authorId="0" shapeId="0" xr:uid="{3C3FB05B-6D3A-4F4C-BD50-25648DF244D8}">
      <text>
        <r>
          <rPr>
            <sz val="10"/>
            <color rgb="FF000000"/>
            <rFont val="Arial"/>
          </rPr>
          <t>natural gas extraction</t>
        </r>
      </text>
    </comment>
    <comment ref="H42" authorId="0" shapeId="0" xr:uid="{5B227A29-CAEB-429B-86CB-C5A00BAEE27C}">
      <text>
        <r>
          <rPr>
            <sz val="10"/>
            <color rgb="FF000000"/>
            <rFont val="Arial"/>
          </rPr>
          <t>jail damaged</t>
        </r>
      </text>
    </comment>
    <comment ref="H45" authorId="0" shapeId="0" xr:uid="{0D80E187-F9FF-47B4-B90D-CDCC817519E8}">
      <text>
        <r>
          <rPr>
            <sz val="10"/>
            <color rgb="FF000000"/>
            <rFont val="Arial"/>
          </rPr>
          <t>10 houses damaged</t>
        </r>
      </text>
    </comment>
    <comment ref="H46" authorId="0" shapeId="0" xr:uid="{583D40D5-07C9-4100-8988-012925820527}">
      <text>
        <r>
          <rPr>
            <sz val="10"/>
            <color rgb="FF000000"/>
            <rFont val="Arial"/>
          </rPr>
          <t>minor damage to 1 school</t>
        </r>
      </text>
    </comment>
    <comment ref="C48" authorId="0" shapeId="0" xr:uid="{CFD7386B-8CAD-42E3-BCA8-3D089E473FF9}">
      <text>
        <r>
          <rPr>
            <sz val="10"/>
            <color rgb="FF000000"/>
            <rFont val="Arial"/>
          </rPr>
          <t>natural gas extraction</t>
        </r>
      </text>
    </comment>
    <comment ref="C65" authorId="0" shapeId="0" xr:uid="{595D9236-5F98-4D22-8E3A-1232B8DB4568}">
      <text>
        <r>
          <rPr>
            <sz val="10"/>
            <color rgb="FF000000"/>
            <rFont val="Arial"/>
          </rPr>
          <t xml:space="preserve">likely induced
</t>
        </r>
      </text>
    </comment>
    <comment ref="I104" authorId="0" shapeId="0" xr:uid="{D9F33105-5642-4AEB-A63C-9BD0360E2134}">
      <text>
        <r>
          <rPr>
            <sz val="10"/>
            <color rgb="FF000000"/>
            <rFont val="Arial"/>
          </rPr>
          <t xml:space="preserve">Iquique
</t>
        </r>
      </text>
    </comment>
    <comment ref="I129" authorId="0" shapeId="0" xr:uid="{9EFC6FF0-D9F6-4AFA-A9EB-13EB6B9EC5AD}">
      <text>
        <r>
          <rPr>
            <sz val="10"/>
            <color rgb="FF000000"/>
            <rFont val="Arial"/>
          </rPr>
          <t>http://ptwc.weather.gov/ptwc/text.php?id=pacific.TSUPAC.2014.04.19.1439</t>
        </r>
      </text>
    </comment>
    <comment ref="C135" authorId="0" shapeId="0" xr:uid="{B40C45E5-5517-4BB2-B937-F95AE4388C6D}">
      <text>
        <r>
          <rPr>
            <sz val="10"/>
            <color rgb="FF000000"/>
            <rFont val="Arial"/>
          </rPr>
          <t>Reservoir induced</t>
        </r>
      </text>
    </comment>
    <comment ref="C137" authorId="0" shapeId="0" xr:uid="{E5726FB0-4953-44AA-A668-C4FF50E56980}">
      <text>
        <r>
          <rPr>
            <sz val="10"/>
            <color rgb="FF000000"/>
            <rFont val="Arial"/>
          </rPr>
          <t>Natural Gas extraction</t>
        </r>
      </text>
    </comment>
    <comment ref="C167" authorId="0" shapeId="0" xr:uid="{2B355832-8D94-4F01-BD13-4557DE7F6042}">
      <text>
        <r>
          <rPr>
            <sz val="10"/>
            <color rgb="FF000000"/>
            <rFont val="Arial"/>
          </rPr>
          <t>Reservoir induced (3-Gorges-Dam)</t>
        </r>
      </text>
    </comment>
    <comment ref="C168" authorId="0" shapeId="0" xr:uid="{70CD9545-3243-47CA-8396-794316732986}">
      <text>
        <r>
          <rPr>
            <sz val="10"/>
            <color rgb="FF000000"/>
            <rFont val="Arial"/>
          </rPr>
          <t>Reservoir induced (3-Gorges-Dam)</t>
        </r>
      </text>
    </comment>
    <comment ref="C176" authorId="0" shapeId="0" xr:uid="{F0806229-FD72-45A4-A6E1-C8C2B997DE9B}">
      <text>
        <r>
          <rPr>
            <sz val="10"/>
            <color rgb="FF000000"/>
            <rFont val="Arial"/>
          </rPr>
          <t>Oil extraction?</t>
        </r>
      </text>
    </comment>
    <comment ref="C191" authorId="0" shapeId="0" xr:uid="{06AFDF9C-C377-4538-911D-823ACC6E007E}">
      <text>
        <r>
          <rPr>
            <sz val="10"/>
            <color rgb="FF000000"/>
            <rFont val="Arial"/>
          </rPr>
          <t>Mining induced??</t>
        </r>
      </text>
    </comment>
    <comment ref="C206" authorId="0" shapeId="0" xr:uid="{9E6B3CA2-F242-47F1-BCD3-30A4C8E41C68}">
      <text>
        <r>
          <rPr>
            <sz val="10"/>
            <color rgb="FF000000"/>
            <rFont val="Arial"/>
          </rPr>
          <t>mining induced</t>
        </r>
      </text>
    </comment>
    <comment ref="F208" authorId="0" shapeId="0" xr:uid="{0B2A893F-5D11-477E-930C-64EF4ED030E6}">
      <text>
        <r>
          <rPr>
            <sz val="10"/>
            <color rgb="FF000000"/>
            <rFont val="Arial"/>
          </rPr>
          <t>4 in Mexico, 4 in Guatemala (1 in Guatemala officially confirmed)</t>
        </r>
      </text>
    </comment>
    <comment ref="G208" authorId="0" shapeId="0" xr:uid="{44BFD70D-CBEF-4E8F-B382-619D82BD221B}">
      <text>
        <r>
          <rPr>
            <sz val="10"/>
            <color rgb="FF000000"/>
            <rFont val="Arial"/>
          </rPr>
          <t>118 in Mexico, 274 in Guatemala</t>
        </r>
      </text>
    </comment>
    <comment ref="C209" authorId="0" shapeId="0" xr:uid="{66837FA7-2F04-4878-991E-DF4A26524417}">
      <text>
        <r>
          <rPr>
            <sz val="10"/>
            <color rgb="FF000000"/>
            <rFont val="Arial"/>
          </rPr>
          <t xml:space="preserve">reservoir induced
</t>
        </r>
      </text>
    </comment>
    <comment ref="C213" authorId="0" shapeId="0" xr:uid="{1E4EBC15-42A7-4D74-A7CF-F569A3D7645B}">
      <text>
        <r>
          <rPr>
            <sz val="10"/>
            <color rgb="FF000000"/>
            <rFont val="Arial"/>
          </rPr>
          <t>Reservoir Induced</t>
        </r>
      </text>
    </comment>
    <comment ref="C217" authorId="0" shapeId="0" xr:uid="{BD17018A-3066-44A5-92AD-45B67606C8EB}">
      <text>
        <r>
          <rPr>
            <sz val="10"/>
            <color rgb="FF000000"/>
            <rFont val="Arial"/>
          </rPr>
          <t>Near Sabancaya. Volcanic origin?</t>
        </r>
      </text>
    </comment>
    <comment ref="C225" authorId="0" shapeId="0" xr:uid="{8630BF94-01C2-4F89-84BA-B401748135EC}">
      <text>
        <r>
          <rPr>
            <sz val="10"/>
            <color rgb="FF000000"/>
            <rFont val="Arial"/>
          </rPr>
          <t>Reservoir Induced?</t>
        </r>
      </text>
    </comment>
    <comment ref="C229" authorId="0" shapeId="0" xr:uid="{BE31D1A2-E169-44CC-89BC-924DF5A6D564}">
      <text>
        <r>
          <rPr>
            <sz val="10"/>
            <color rgb="FF000000"/>
            <rFont val="Arial"/>
          </rPr>
          <t>Estimated Magnitude: "larger than 3"</t>
        </r>
      </text>
    </comment>
    <comment ref="I231" authorId="0" shapeId="0" xr:uid="{2A29C020-8631-4065-8D6C-54CDC708B6BB}">
      <text>
        <r>
          <rPr>
            <sz val="10"/>
            <color rgb="FF000000"/>
            <rFont val="Arial"/>
          </rPr>
          <t>http://www.ngdc.noaa.gov/nndc/struts/results?EQ_0=5575&amp;t=101650&amp;s=9&amp;d=92,183&amp;nd=display</t>
        </r>
      </text>
    </comment>
    <comment ref="F234" authorId="0" shapeId="0" xr:uid="{6CBD5FE7-159C-47B9-91B4-A9F43FDD3103}">
      <text>
        <r>
          <rPr>
            <sz val="10"/>
            <color rgb="FF000000"/>
            <rFont val="Arial"/>
          </rPr>
          <t xml:space="preserve">indirect fatality (heart Attack)
</t>
        </r>
      </text>
    </comment>
    <comment ref="F237" authorId="0" shapeId="0" xr:uid="{A3A1722B-B917-4AD4-9B87-400D8758DED4}">
      <text>
        <r>
          <rPr>
            <sz val="10"/>
            <color rgb="FF000000"/>
            <rFont val="Arial"/>
          </rPr>
          <t>including 112 missing people</t>
        </r>
      </text>
    </comment>
    <comment ref="H258" authorId="0" shapeId="0" xr:uid="{2D10D770-5C63-4C79-A7BB-2C22177F58C9}">
      <text>
        <r>
          <rPr>
            <sz val="10"/>
            <color rgb="FF000000"/>
            <rFont val="Arial"/>
          </rPr>
          <t>Large economic loss (several billion $), but only a limited number of houses affected (1400)</t>
        </r>
      </text>
    </comment>
    <comment ref="H268" authorId="0" shapeId="0" xr:uid="{F53AB66D-C8E1-4D08-AFD0-0C2D72595A3E}">
      <text>
        <r>
          <rPr>
            <sz val="10"/>
            <color rgb="FF000000"/>
            <rFont val="Arial"/>
          </rPr>
          <t>Mining Accident</t>
        </r>
      </text>
    </comment>
    <comment ref="C280" authorId="0" shapeId="0" xr:uid="{110C3A3E-5C33-4B07-9E44-2029B505A079}">
      <text>
        <r>
          <rPr>
            <sz val="10"/>
            <color rgb="FF000000"/>
            <rFont val="Arial"/>
          </rPr>
          <t>Swarm of micro quakes since August</t>
        </r>
      </text>
    </comment>
    <comment ref="H290" authorId="0" shapeId="0" xr:uid="{DB2E7D6B-4CF3-45F6-82D3-520020565A59}">
      <text>
        <r>
          <rPr>
            <sz val="10"/>
            <color rgb="FF000000"/>
            <rFont val="Arial"/>
          </rPr>
          <t>80M Yuan</t>
        </r>
      </text>
    </comment>
    <comment ref="C312" authorId="0" shapeId="0" xr:uid="{C03625AD-2DAD-48D2-A941-21BAD65663B1}">
      <text>
        <r>
          <rPr>
            <sz val="10"/>
            <color rgb="FF000000"/>
            <rFont val="Arial"/>
          </rPr>
          <t>Reservoir induced?</t>
        </r>
      </text>
    </comment>
    <comment ref="C315" authorId="0" shapeId="0" xr:uid="{A3EDF870-E797-4E5A-A332-10961D8D6D8F}">
      <text>
        <r>
          <rPr>
            <sz val="10"/>
            <color rgb="FF000000"/>
            <rFont val="Arial"/>
          </rPr>
          <t xml:space="preserve">reservoir induced
</t>
        </r>
      </text>
    </comment>
    <comment ref="G325" authorId="0" shapeId="0" xr:uid="{6C806291-3F70-4A22-9D4D-FD0B2C3A209D}">
      <text>
        <r>
          <rPr>
            <sz val="10"/>
            <color rgb="FF000000"/>
            <rFont val="Arial"/>
          </rPr>
          <t>estimated</t>
        </r>
      </text>
    </comment>
    <comment ref="E335" authorId="0" shapeId="0" xr:uid="{0BB70E84-0285-4D37-9687-813535B82829}">
      <text>
        <r>
          <rPr>
            <sz val="10"/>
            <color rgb="FF000000"/>
            <rFont val="Arial"/>
          </rPr>
          <t>MSK-64 scale</t>
        </r>
      </text>
    </comment>
    <comment ref="I339" authorId="0" shapeId="0" xr:uid="{BD63F577-83EC-4A83-A864-87F41DA27C16}">
      <text>
        <r>
          <rPr>
            <sz val="10"/>
            <color rgb="FF000000"/>
            <rFont val="Arial"/>
          </rPr>
          <t>http://bnpb.go.id/berita/2263/terdeteksi-kecil-peringatan-dini-tsunami-telah-berakhir</t>
        </r>
      </text>
    </comment>
    <comment ref="C342" authorId="0" shapeId="0" xr:uid="{D8E2380B-6AD2-4502-BA99-E3CAF3C751E3}">
      <text>
        <r>
          <rPr>
            <sz val="10"/>
            <color rgb="FF000000"/>
            <rFont val="Arial"/>
          </rPr>
          <t>http://www.obsis.unb.br/sismos-registrados/437-16-11-2014-moraujo-ce</t>
        </r>
      </text>
    </comment>
    <comment ref="H353" authorId="0" shapeId="0" xr:uid="{F6473ABC-2EFA-466E-A95F-D9AF6F1FFFF6}">
      <text>
        <r>
          <rPr>
            <sz val="10"/>
            <color rgb="FF000000"/>
            <rFont val="Arial"/>
          </rPr>
          <t>mining accident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I4" authorId="0" shapeId="0" xr:uid="{C5E771AF-BBF6-424F-B425-5538F69C2486}">
      <text>
        <r>
          <rPr>
            <sz val="10"/>
            <color rgb="FF000000"/>
            <rFont val="Arial"/>
          </rPr>
          <t>estimated</t>
        </r>
      </text>
    </comment>
    <comment ref="I5" authorId="0" shapeId="0" xr:uid="{164FD829-00AA-45A4-B2A3-A0F37FF56D89}">
      <text>
        <r>
          <rPr>
            <sz val="10"/>
            <color rgb="FF000000"/>
            <rFont val="Arial"/>
          </rPr>
          <t>estimated</t>
        </r>
      </text>
    </comment>
    <comment ref="C6" authorId="0" shapeId="0" xr:uid="{A64768D9-11F8-43CB-85F2-307494F4DC23}">
      <text>
        <r>
          <rPr>
            <sz val="10"/>
            <color rgb="FF000000"/>
            <rFont val="Arial"/>
          </rPr>
          <t>Waste Water injection</t>
        </r>
      </text>
    </comment>
    <comment ref="C9" authorId="0" shapeId="0" xr:uid="{076E6366-F4E1-4059-896F-120C1D94FED9}">
      <text>
        <r>
          <rPr>
            <sz val="10"/>
            <color rgb="FF000000"/>
            <rFont val="Arial"/>
          </rPr>
          <t xml:space="preserve">Natural Gas Extraction
</t>
        </r>
      </text>
    </comment>
    <comment ref="C10" authorId="0" shapeId="0" xr:uid="{A467BC60-7997-4D0A-A38E-DD2459134519}">
      <text>
        <r>
          <rPr>
            <sz val="10"/>
            <color rgb="FF000000"/>
            <rFont val="Arial"/>
          </rPr>
          <t>Waste Water injection</t>
        </r>
      </text>
    </comment>
    <comment ref="I10" authorId="0" shapeId="0" xr:uid="{8A6C84EB-48FE-43EA-BE1F-8C17D712EE98}">
      <text>
        <r>
          <rPr>
            <sz val="10"/>
            <color rgb="FF000000"/>
            <rFont val="Arial"/>
          </rPr>
          <t>estimated</t>
        </r>
      </text>
    </comment>
    <comment ref="C11" authorId="0" shapeId="0" xr:uid="{0EA547FB-D7C0-403B-85B2-0345E907B875}">
      <text>
        <r>
          <rPr>
            <sz val="10"/>
            <color rgb="FF000000"/>
            <rFont val="Arial"/>
          </rPr>
          <t>Waste Water injection</t>
        </r>
      </text>
    </comment>
    <comment ref="I11" authorId="0" shapeId="0" xr:uid="{C41FC8A4-1AAE-4633-854B-6D444822896D}">
      <text>
        <r>
          <rPr>
            <sz val="10"/>
            <color rgb="FF000000"/>
            <rFont val="Arial"/>
          </rPr>
          <t>estimated</t>
        </r>
      </text>
    </comment>
    <comment ref="I12" authorId="0" shapeId="0" xr:uid="{D3BB877F-D466-43FF-931A-8D31BC18D3D4}">
      <text>
        <r>
          <rPr>
            <sz val="10"/>
            <color rgb="FF000000"/>
            <rFont val="Arial"/>
          </rPr>
          <t>estimated</t>
        </r>
      </text>
    </comment>
    <comment ref="I16" authorId="0" shapeId="0" xr:uid="{D7BBF9FF-72CB-42BB-B2E2-C91304C0559A}">
      <text>
        <r>
          <rPr>
            <sz val="10"/>
            <color rgb="FF000000"/>
            <rFont val="Arial"/>
          </rPr>
          <t>estimated</t>
        </r>
      </text>
    </comment>
    <comment ref="H25" authorId="0" shapeId="0" xr:uid="{7B40FFAC-4E79-442E-8919-76FA2F7B65C0}">
      <text>
        <r>
          <rPr>
            <sz val="10"/>
            <color rgb="FF000000"/>
            <rFont val="Arial"/>
          </rPr>
          <t>mining accident</t>
        </r>
      </text>
    </comment>
    <comment ref="I32" authorId="0" shapeId="0" xr:uid="{E488FF13-805F-4493-9A1B-32643A712549}">
      <text>
        <r>
          <rPr>
            <sz val="10"/>
            <color rgb="FF000000"/>
            <rFont val="Arial"/>
          </rPr>
          <t>estimated</t>
        </r>
      </text>
    </comment>
    <comment ref="H42" authorId="0" shapeId="0" xr:uid="{DC5A17D6-EB4D-4B4D-A3B7-3EDA4030C9F1}">
      <text>
        <r>
          <rPr>
            <sz val="10"/>
            <color rgb="FF000000"/>
            <rFont val="Arial"/>
          </rPr>
          <t>cracked road</t>
        </r>
      </text>
    </comment>
    <comment ref="C49" authorId="0" shapeId="0" xr:uid="{B6A22965-9316-4741-A6B6-CAB38D0400B8}">
      <text>
        <r>
          <rPr>
            <sz val="10"/>
            <color rgb="FF000000"/>
            <rFont val="Arial"/>
          </rPr>
          <t>Waste Water injection</t>
        </r>
      </text>
    </comment>
    <comment ref="I52" authorId="0" shapeId="0" xr:uid="{06EA27FE-9084-4E17-903B-6C093B0E2F4F}">
      <text>
        <r>
          <rPr>
            <sz val="10"/>
            <color rgb="FF000000"/>
            <rFont val="Arial"/>
          </rPr>
          <t>estimated</t>
        </r>
      </text>
    </comment>
    <comment ref="C53" authorId="0" shapeId="0" xr:uid="{D0EBC159-78CB-42DC-BD05-B28694FF05F7}">
      <text>
        <r>
          <rPr>
            <sz val="10"/>
            <color rgb="FF000000"/>
            <rFont val="Arial"/>
          </rPr>
          <t>Waste Water injection</t>
        </r>
      </text>
    </comment>
    <comment ref="I56" authorId="0" shapeId="0" xr:uid="{62F9F5D5-7D9E-4376-9B43-3D80935BFDD1}">
      <text>
        <r>
          <rPr>
            <sz val="10"/>
            <color rgb="FF000000"/>
            <rFont val="Arial"/>
          </rPr>
          <t>estimated</t>
        </r>
      </text>
    </comment>
    <comment ref="I59" authorId="0" shapeId="0" xr:uid="{70C07717-AF61-4AFF-B672-E2A005453464}">
      <text>
        <r>
          <rPr>
            <sz val="10"/>
            <color rgb="FF000000"/>
            <rFont val="Arial"/>
          </rPr>
          <t>estimated</t>
        </r>
      </text>
    </comment>
    <comment ref="H60" authorId="0" shapeId="0" xr:uid="{5E135464-AE83-412D-82C4-61A59E371C11}">
      <text>
        <r>
          <rPr>
            <sz val="10"/>
            <color rgb="FF000000"/>
            <rFont val="Arial"/>
          </rPr>
          <t>damaged pipes, power outages</t>
        </r>
      </text>
    </comment>
    <comment ref="C64" authorId="0" shapeId="0" xr:uid="{33CB1E10-2335-4E95-8D02-4B6772D161DF}">
      <text>
        <r>
          <rPr>
            <sz val="10"/>
            <color rgb="FF000000"/>
            <rFont val="Arial"/>
          </rPr>
          <t>http://www.moho.iag.usp.br/portal/events/usp2015dlrh</t>
        </r>
      </text>
    </comment>
    <comment ref="H68" authorId="0" shapeId="0" xr:uid="{FAA0C3EF-F9D9-435E-B013-25091D48D333}">
      <text>
        <r>
          <rPr>
            <sz val="10"/>
            <color rgb="FF000000"/>
            <rFont val="Arial"/>
          </rPr>
          <t>mining accident</t>
        </r>
      </text>
    </comment>
    <comment ref="I72" authorId="0" shapeId="0" xr:uid="{754D06F4-19CD-4E2E-A311-F4758E8BAFAF}">
      <text>
        <r>
          <rPr>
            <sz val="10"/>
            <color rgb="FF000000"/>
            <rFont val="Arial"/>
          </rPr>
          <t>estimated</t>
        </r>
      </text>
    </comment>
    <comment ref="C74" authorId="0" shapeId="0" xr:uid="{17C9A1C1-58A5-48A6-9F40-93FD662095BE}">
      <text>
        <r>
          <rPr>
            <sz val="10"/>
            <color rgb="FF000000"/>
            <rFont val="Arial"/>
          </rPr>
          <t>natural gas extraction</t>
        </r>
      </text>
    </comment>
    <comment ref="I76" authorId="0" shapeId="0" xr:uid="{9AF99A9A-80B4-47D4-9AF8-135C5A2F073C}">
      <text>
        <r>
          <rPr>
            <sz val="10"/>
            <color rgb="FF000000"/>
            <rFont val="Arial"/>
          </rPr>
          <t>estimated</t>
        </r>
      </text>
    </comment>
    <comment ref="I84" authorId="0" shapeId="0" xr:uid="{24B18F77-A0D7-446A-8403-D5CB77F5AC9C}">
      <text>
        <r>
          <rPr>
            <sz val="10"/>
            <color rgb="FF000000"/>
            <rFont val="Arial"/>
          </rPr>
          <t>estimated</t>
        </r>
      </text>
    </comment>
    <comment ref="H89" authorId="0" shapeId="0" xr:uid="{2082C264-B7E8-49FE-B907-4F444A6D9D2F}">
      <text>
        <r>
          <rPr>
            <sz val="10"/>
            <color rgb="FF000000"/>
            <rFont val="Arial"/>
          </rPr>
          <t>broken water pipe</t>
        </r>
      </text>
    </comment>
    <comment ref="I97" authorId="0" shapeId="0" xr:uid="{340AA0A6-D28B-40BC-BACD-813B1AD757F1}">
      <text>
        <r>
          <rPr>
            <sz val="10"/>
            <color rgb="FF000000"/>
            <rFont val="Arial"/>
          </rPr>
          <t>estimated</t>
        </r>
      </text>
    </comment>
    <comment ref="I98" authorId="0" shapeId="0" xr:uid="{02F4C439-F14D-4088-A6A9-DE930EB853D1}">
      <text>
        <r>
          <rPr>
            <sz val="10"/>
            <color rgb="FF000000"/>
            <rFont val="Arial"/>
          </rPr>
          <t>estimated</t>
        </r>
      </text>
    </comment>
    <comment ref="I99" authorId="0" shapeId="0" xr:uid="{88F98F49-2F25-4457-967D-CA644A31784F}">
      <text>
        <r>
          <rPr>
            <sz val="10"/>
            <color rgb="FF000000"/>
            <rFont val="Arial"/>
          </rPr>
          <t>estimated</t>
        </r>
      </text>
    </comment>
    <comment ref="I101" authorId="0" shapeId="0" xr:uid="{6ED1FDB9-885A-4BCC-AD16-B5C3656EFF3D}">
      <text>
        <r>
          <rPr>
            <sz val="10"/>
            <color rgb="FF000000"/>
            <rFont val="Arial"/>
          </rPr>
          <t>estimated</t>
        </r>
      </text>
    </comment>
    <comment ref="C102" authorId="0" shapeId="0" xr:uid="{E0C1C857-855C-4040-AE75-15DC8B9D3FFA}">
      <text>
        <r>
          <rPr>
            <sz val="10"/>
            <color rgb="FF000000"/>
            <rFont val="Arial"/>
          </rPr>
          <t>natural gas extraction</t>
        </r>
      </text>
    </comment>
    <comment ref="I113" authorId="0" shapeId="0" xr:uid="{13D5D77A-FF6F-42AE-8897-A87EDFB6CA84}">
      <text>
        <r>
          <rPr>
            <sz val="10"/>
            <color rgb="FF000000"/>
            <rFont val="Arial"/>
          </rPr>
          <t>estimated</t>
        </r>
      </text>
    </comment>
    <comment ref="C114" authorId="0" shapeId="0" xr:uid="{BB3B7C27-FC1D-4663-ADEA-6C2FA561861F}">
      <text>
        <r>
          <rPr>
            <sz val="10"/>
            <color rgb="FF000000"/>
            <rFont val="Arial"/>
          </rPr>
          <t>Waste Water injection</t>
        </r>
      </text>
    </comment>
    <comment ref="I121" authorId="0" shapeId="0" xr:uid="{655AF2FE-EE12-4AE0-9521-E865D01661C8}">
      <text>
        <r>
          <rPr>
            <sz val="10"/>
            <color rgb="FF000000"/>
            <rFont val="Arial"/>
          </rPr>
          <t>estimated</t>
        </r>
      </text>
    </comment>
    <comment ref="I122" authorId="0" shapeId="0" xr:uid="{74EA2E7F-506B-4A58-B39A-7DCAD5EE387D}">
      <text>
        <r>
          <rPr>
            <sz val="10"/>
            <color rgb="FF000000"/>
            <rFont val="Arial"/>
          </rPr>
          <t>estimated</t>
        </r>
      </text>
    </comment>
    <comment ref="C124" authorId="0" shapeId="0" xr:uid="{BAB132BB-44CB-44A1-A125-35CEEC0FF929}">
      <text>
        <r>
          <rPr>
            <sz val="10"/>
            <color rgb="FF000000"/>
            <rFont val="Arial"/>
          </rPr>
          <t>mining</t>
        </r>
      </text>
    </comment>
    <comment ref="I126" authorId="0" shapeId="0" xr:uid="{3465EEEC-9660-45BE-AD15-254E30483582}">
      <text>
        <r>
          <rPr>
            <sz val="10"/>
            <color rgb="FF000000"/>
            <rFont val="Arial"/>
          </rPr>
          <t>estimated</t>
        </r>
      </text>
    </comment>
    <comment ref="F127" authorId="0" shapeId="0" xr:uid="{D21A1C64-A910-4403-98B4-4F784E24FD72}">
      <text>
        <r>
          <rPr>
            <sz val="10"/>
            <color rgb="FF000000"/>
            <rFont val="Arial"/>
          </rPr>
          <t>130 India
30 China
4 Bangladesh
8962 Nepal</t>
        </r>
      </text>
    </comment>
    <comment ref="G127" authorId="0" shapeId="0" xr:uid="{F2AE5381-743D-4FC8-AEB3-5DFDD4E6E816}">
      <text>
        <r>
          <rPr>
            <sz val="10"/>
            <color rgb="FF000000"/>
            <rFont val="Arial"/>
          </rPr>
          <t>1490
22302</t>
        </r>
      </text>
    </comment>
    <comment ref="H127" authorId="0" shapeId="0" xr:uid="{C1FE697D-67CC-4AA1-A937-896DE3172748}">
      <text>
        <r>
          <rPr>
            <sz val="10"/>
            <color rgb="FF000000"/>
            <rFont val="Arial"/>
          </rPr>
          <t>National:
Damage Level 5+ in Nepal
Damage Level 5 in India
Damage Level 5 in China
Damage Level 3-4 in Bangladesh
Damage Level 2 in Bhutan</t>
        </r>
      </text>
    </comment>
    <comment ref="I127" authorId="0" shapeId="0" xr:uid="{78250C1A-6FF2-405A-8563-FF2D95BC19F1}">
      <text>
        <r>
          <rPr>
            <sz val="10"/>
            <color rgb="FF000000"/>
            <rFont val="Arial"/>
          </rPr>
          <t>estimated</t>
        </r>
      </text>
    </comment>
    <comment ref="J127" authorId="0" shapeId="0" xr:uid="{C5680D82-85E9-4EB6-9C98-D057730F3A07}">
      <text>
        <r>
          <rPr>
            <sz val="10"/>
            <color rgb="FF000000"/>
            <rFont val="Arial"/>
          </rPr>
          <t>estimated</t>
        </r>
      </text>
    </comment>
    <comment ref="I128" authorId="0" shapeId="0" xr:uid="{BA50958D-0753-4884-A700-D873F378290C}">
      <text>
        <r>
          <rPr>
            <sz val="10"/>
            <color rgb="FF000000"/>
            <rFont val="Arial"/>
          </rPr>
          <t>estimated</t>
        </r>
      </text>
    </comment>
    <comment ref="F129" authorId="0" shapeId="0" xr:uid="{E33E13F6-18FB-464D-8DE0-595CE2F4ED29}">
      <text>
        <r>
          <rPr>
            <sz val="10"/>
            <color rgb="FF000000"/>
            <rFont val="Arial"/>
          </rPr>
          <t>Deaths and injuries in Nepal and India</t>
        </r>
      </text>
    </comment>
    <comment ref="H129" authorId="0" shapeId="0" xr:uid="{8DB0A230-822B-420B-B1CD-FA071060D8BF}">
      <text>
        <r>
          <rPr>
            <sz val="10"/>
            <color rgb="FF000000"/>
            <rFont val="Arial"/>
          </rPr>
          <t>National:
Damage Level 4 in Nepal
Damage Level 3 in China
Damage Level 3 in India</t>
        </r>
      </text>
    </comment>
    <comment ref="H130" authorId="0" shapeId="0" xr:uid="{3FEC74EC-AFAB-4AC1-9B1E-F4CD5A8CE9CA}">
      <text>
        <r>
          <rPr>
            <sz val="10"/>
            <color rgb="FF000000"/>
            <rFont val="Arial"/>
          </rPr>
          <t>damage reports from India only</t>
        </r>
      </text>
    </comment>
    <comment ref="C133" authorId="0" shapeId="0" xr:uid="{32BE43F9-8176-4DDB-8052-73A3426BBFFE}">
      <text>
        <r>
          <rPr>
            <sz val="10"/>
            <color rgb="FF000000"/>
            <rFont val="Arial"/>
          </rPr>
          <t>mining</t>
        </r>
      </text>
    </comment>
    <comment ref="C135" authorId="0" shapeId="0" xr:uid="{F81D73C6-865D-41D2-9380-3115DB52199E}">
      <text>
        <r>
          <rPr>
            <sz val="10"/>
            <color rgb="FF000000"/>
            <rFont val="Arial"/>
          </rPr>
          <t>mining</t>
        </r>
      </text>
    </comment>
    <comment ref="H141" authorId="0" shapeId="0" xr:uid="{4B5411C9-76B7-4B4A-BF84-403427D70B28}">
      <text>
        <r>
          <rPr>
            <sz val="10"/>
            <color rgb="FF000000"/>
            <rFont val="Arial"/>
          </rPr>
          <t>damaged road</t>
        </r>
      </text>
    </comment>
    <comment ref="C146" authorId="0" shapeId="0" xr:uid="{E12E361A-F8C4-413E-879A-52111FC27D20}">
      <text>
        <r>
          <rPr>
            <sz val="10"/>
            <color rgb="FF000000"/>
            <rFont val="Arial"/>
          </rPr>
          <t>Waste Water injection</t>
        </r>
      </text>
    </comment>
    <comment ref="I149" authorId="0" shapeId="0" xr:uid="{B9AB2248-3860-409A-B0D1-4F41B6B72F3D}">
      <text>
        <r>
          <rPr>
            <sz val="10"/>
            <color rgb="FF000000"/>
            <rFont val="Arial"/>
          </rPr>
          <t>estimated</t>
        </r>
      </text>
    </comment>
    <comment ref="F151" authorId="0" shapeId="0" xr:uid="{A75C1577-2F2A-497A-B9A4-7FB93125BE95}">
      <text>
        <r>
          <rPr>
            <sz val="10"/>
            <color rgb="FF000000"/>
            <rFont val="Arial"/>
          </rPr>
          <t>163 Nepal
62 India
2 Bangladesh
1 China</t>
        </r>
      </text>
    </comment>
    <comment ref="G151" authorId="0" shapeId="0" xr:uid="{963501F2-EFE8-42DF-988C-76C282EC90D9}">
      <text>
        <r>
          <rPr>
            <sz val="10"/>
            <color rgb="FF000000"/>
            <rFont val="Arial"/>
          </rPr>
          <t>3275 Nepal
~ 200 in Bangladesh
~ 200 in India
4 in China</t>
        </r>
      </text>
    </comment>
    <comment ref="I154" authorId="0" shapeId="0" xr:uid="{3CB7569A-EEB3-4CF7-AACB-4D6BF2B6036B}">
      <text>
        <r>
          <rPr>
            <sz val="10"/>
            <color rgb="FF000000"/>
            <rFont val="Arial"/>
          </rPr>
          <t>estimated</t>
        </r>
      </text>
    </comment>
    <comment ref="I157" authorId="0" shapeId="0" xr:uid="{73BDB2E7-21D5-4A1E-81A3-70244C20ED92}">
      <text>
        <r>
          <rPr>
            <sz val="10"/>
            <color rgb="FF000000"/>
            <rFont val="Arial"/>
          </rPr>
          <t>estimated</t>
        </r>
      </text>
    </comment>
    <comment ref="I158" authorId="0" shapeId="0" xr:uid="{0C6391E8-46E0-4FBC-8786-10F11CC17B0A}">
      <text>
        <r>
          <rPr>
            <sz val="10"/>
            <color rgb="FF000000"/>
            <rFont val="Arial"/>
          </rPr>
          <t>estimated</t>
        </r>
      </text>
    </comment>
    <comment ref="H164" authorId="0" shapeId="0" xr:uid="{61E6C5C4-5303-4F5E-A61C-EDABC8D163A7}">
      <text>
        <r>
          <rPr>
            <sz val="10"/>
            <color rgb="FF000000"/>
            <rFont val="Arial"/>
          </rPr>
          <t>bridge damaged</t>
        </r>
      </text>
    </comment>
    <comment ref="C167" authorId="0" shapeId="0" xr:uid="{62DFA52E-1E7F-40ED-B39E-9A25073B2A44}">
      <text>
        <r>
          <rPr>
            <sz val="10"/>
            <color rgb="FF000000"/>
            <rFont val="Arial"/>
          </rPr>
          <t>natural gas extraction</t>
        </r>
      </text>
    </comment>
    <comment ref="C168" authorId="0" shapeId="0" xr:uid="{9AAD1DB9-8150-4AF2-B633-14884FDC8C29}">
      <text>
        <r>
          <rPr>
            <sz val="10"/>
            <color rgb="FF000000"/>
            <rFont val="Arial"/>
          </rPr>
          <t>mining</t>
        </r>
      </text>
    </comment>
    <comment ref="I178" authorId="0" shapeId="0" xr:uid="{7880D27D-6AD2-49EE-B187-216563D17E8D}">
      <text>
        <r>
          <rPr>
            <sz val="10"/>
            <color rgb="FF000000"/>
            <rFont val="Arial"/>
          </rPr>
          <t>estimated</t>
        </r>
      </text>
    </comment>
    <comment ref="H194" authorId="0" shapeId="0" xr:uid="{1E6C7923-6DC3-456D-B90D-4274F45BDCFB}">
      <text>
        <r>
          <rPr>
            <sz val="10"/>
            <color rgb="FF000000"/>
            <rFont val="Arial"/>
          </rPr>
          <t>Damage only in Guyana</t>
        </r>
      </text>
    </comment>
    <comment ref="I200" authorId="0" shapeId="0" xr:uid="{F2FC3C88-4549-4C86-9920-62E218DE9204}">
      <text>
        <r>
          <rPr>
            <sz val="10"/>
            <color rgb="FF000000"/>
            <rFont val="Arial"/>
          </rPr>
          <t>estimated</t>
        </r>
      </text>
    </comment>
    <comment ref="I204" authorId="0" shapeId="0" xr:uid="{1BA012F7-CBAC-41E1-9C96-591ED73A6A73}">
      <text>
        <r>
          <rPr>
            <sz val="10"/>
            <color rgb="FF000000"/>
            <rFont val="Arial"/>
          </rPr>
          <t>estimated</t>
        </r>
      </text>
    </comment>
    <comment ref="I211" authorId="0" shapeId="0" xr:uid="{834E2346-2424-4406-AF78-A1856637EA38}">
      <text>
        <r>
          <rPr>
            <sz val="10"/>
            <color rgb="FF000000"/>
            <rFont val="Arial"/>
          </rPr>
          <t>estimated</t>
        </r>
      </text>
    </comment>
    <comment ref="J216" authorId="0" shapeId="0" xr:uid="{30960957-F69E-47CD-8BE2-ACD9810F1271}">
      <text>
        <r>
          <rPr>
            <sz val="10"/>
            <color rgb="FF000000"/>
            <rFont val="Arial"/>
          </rPr>
          <t>estimated</t>
        </r>
      </text>
    </comment>
    <comment ref="H220" authorId="0" shapeId="0" xr:uid="{CBE990C3-94CF-4C30-891D-DC07C7A04912}">
      <text>
        <r>
          <rPr>
            <sz val="10"/>
            <color rgb="FF000000"/>
            <rFont val="Arial"/>
          </rPr>
          <t>Afghanistan:
Tajikistan:
Pakistan: 2
India: 1 - 2</t>
        </r>
      </text>
    </comment>
    <comment ref="H226" authorId="0" shapeId="0" xr:uid="{9E211D26-CD81-475C-A8E7-9EEC9811A747}">
      <text>
        <r>
          <rPr>
            <sz val="10"/>
            <color rgb="FF000000"/>
            <rFont val="Arial"/>
          </rPr>
          <t>landslide</t>
        </r>
      </text>
    </comment>
    <comment ref="I227" authorId="0" shapeId="0" xr:uid="{0C2BAF7F-854C-45A1-B359-080587D12509}">
      <text>
        <r>
          <rPr>
            <sz val="10"/>
            <color rgb="FF000000"/>
            <rFont val="Arial"/>
          </rPr>
          <t>estimated</t>
        </r>
      </text>
    </comment>
    <comment ref="H229" authorId="0" shapeId="0" xr:uid="{A3BA30F2-6E66-4E82-AA8D-6F27007B7B30}">
      <text>
        <r>
          <rPr>
            <sz val="10"/>
            <color rgb="FF000000"/>
            <rFont val="Arial"/>
          </rPr>
          <t>road damage</t>
        </r>
      </text>
    </comment>
    <comment ref="I230" authorId="0" shapeId="0" xr:uid="{BE510FBE-2A73-462C-A023-F4AB5FEB72A7}">
      <text>
        <r>
          <rPr>
            <sz val="10"/>
            <color rgb="FF000000"/>
            <rFont val="Arial"/>
          </rPr>
          <t>estimated</t>
        </r>
      </text>
    </comment>
    <comment ref="H240" authorId="0" shapeId="0" xr:uid="{34B14262-1D25-4646-8DEB-396B6A40CFF7}">
      <text>
        <r>
          <rPr>
            <sz val="10"/>
            <color rgb="FF000000"/>
            <rFont val="Arial"/>
          </rPr>
          <t xml:space="preserve">broken water pipes
</t>
        </r>
      </text>
    </comment>
    <comment ref="I243" authorId="0" shapeId="0" xr:uid="{CC4A770E-34F1-4E48-8063-E0771F47FD19}">
      <text>
        <r>
          <rPr>
            <sz val="10"/>
            <color rgb="FF000000"/>
            <rFont val="Arial"/>
          </rPr>
          <t>166 uninhabitable</t>
        </r>
      </text>
    </comment>
    <comment ref="F246" authorId="0" shapeId="0" xr:uid="{7EF6D5A5-20FB-4933-BE4B-37B3266F8C2A}">
      <text>
        <r>
          <rPr>
            <sz val="10"/>
            <color rgb="FF000000"/>
            <rFont val="Arial"/>
          </rPr>
          <t xml:space="preserve">15 fatalities in Chile, 1 in Argentina
</t>
        </r>
      </text>
    </comment>
    <comment ref="H246" authorId="0" shapeId="0" xr:uid="{B99E8B6C-1272-4149-A306-A8DC80CBCAAA}">
      <text>
        <r>
          <rPr>
            <sz val="10"/>
            <color rgb="FF000000"/>
            <rFont val="Arial"/>
          </rPr>
          <t>Damage Level 5 in Chile
Damage Level 3 in Argentina
Damage Level 1 in Brazil</t>
        </r>
      </text>
    </comment>
    <comment ref="I246" authorId="0" shapeId="0" xr:uid="{76700C5C-9E43-4BE0-9738-ACB5EB7ED41C}">
      <text>
        <r>
          <rPr>
            <sz val="10"/>
            <color rgb="FF000000"/>
            <rFont val="Arial"/>
          </rPr>
          <t>90 houses damaged in Mendoza, ARG
several in San Juan, Cordoba
some in Sao Paulo, Brazil
4640 Chile
estimated</t>
        </r>
      </text>
    </comment>
    <comment ref="J246" authorId="0" shapeId="0" xr:uid="{0E4C90CA-7FE6-40D1-9B4C-1B26736028A7}">
      <text>
        <r>
          <rPr>
            <sz val="10"/>
            <color rgb="FF000000"/>
            <rFont val="Arial"/>
          </rPr>
          <t>4 houses collapsed in Mendoza, 1 in San Juan, 2867 in Chile
1796 houses uninhabitable in Chile</t>
        </r>
      </text>
    </comment>
    <comment ref="K246" authorId="0" shapeId="0" xr:uid="{9D721B60-0D0D-43AC-A62C-0D44E81F7965}">
      <text>
        <r>
          <rPr>
            <sz val="10"/>
            <color rgb="FF000000"/>
            <rFont val="Arial"/>
          </rPr>
          <t>http://ptwc.weather.gov/ptwc/text.php?id=hawaii.TSUHWX.2015.09.17.1413</t>
        </r>
      </text>
    </comment>
    <comment ref="C252" authorId="0" shapeId="0" xr:uid="{34CFAF6B-BFF4-4067-B6A9-56B02CEF57FE}">
      <text>
        <r>
          <rPr>
            <sz val="10"/>
            <color rgb="FF000000"/>
            <rFont val="Arial"/>
          </rPr>
          <t xml:space="preserve">natural gas / oil extraction
</t>
        </r>
      </text>
    </comment>
    <comment ref="H256" authorId="0" shapeId="0" xr:uid="{10128A47-E29A-46B5-BF3D-6400B496B8D6}">
      <text>
        <r>
          <rPr>
            <sz val="10"/>
            <color rgb="FF000000"/>
            <rFont val="Arial"/>
          </rPr>
          <t>Houses flooded/damaged after dike breach</t>
        </r>
      </text>
    </comment>
    <comment ref="C259" authorId="0" shapeId="0" xr:uid="{3534148D-644B-4A5E-99E6-F9D0EECE0701}">
      <text>
        <r>
          <rPr>
            <sz val="10"/>
            <color rgb="FF000000"/>
            <rFont val="Arial"/>
          </rPr>
          <t>mining</t>
        </r>
      </text>
    </comment>
    <comment ref="C261" authorId="0" shapeId="0" xr:uid="{C43B1A31-0D68-4B2C-BEBF-9AF0DAB973AA}">
      <text>
        <r>
          <rPr>
            <sz val="10"/>
            <color rgb="FF000000"/>
            <rFont val="Arial"/>
          </rPr>
          <t xml:space="preserve">natural gas extraction
</t>
        </r>
      </text>
    </comment>
    <comment ref="C262" authorId="0" shapeId="0" xr:uid="{DEDE2CD5-452F-4844-838F-ADB9199991FE}">
      <text>
        <r>
          <rPr>
            <sz val="10"/>
            <color rgb="FF000000"/>
            <rFont val="Arial"/>
          </rPr>
          <t>Natural Gas Extraction</t>
        </r>
      </text>
    </comment>
    <comment ref="C267" authorId="0" shapeId="0" xr:uid="{0C1BDE28-9541-45A3-8E98-0BFBD5B18E63}">
      <text>
        <r>
          <rPr>
            <sz val="10"/>
            <color rgb="FF000000"/>
            <rFont val="Arial"/>
          </rPr>
          <t>waste water injection</t>
        </r>
      </text>
    </comment>
    <comment ref="C268" authorId="0" shapeId="0" xr:uid="{3DC5BCAE-A307-4471-821D-5B19802490F5}">
      <text>
        <r>
          <rPr>
            <sz val="10"/>
            <color rgb="FF000000"/>
            <rFont val="Arial"/>
          </rPr>
          <t>waste water injection</t>
        </r>
      </text>
    </comment>
    <comment ref="H271" authorId="0" shapeId="0" xr:uid="{31D30757-093C-42A1-84B4-4E80C990F0FF}">
      <text>
        <r>
          <rPr>
            <sz val="10"/>
            <color rgb="FF000000"/>
            <rFont val="Arial"/>
          </rPr>
          <t>Damage 3 in Iran
No Information from Turkmenistan</t>
        </r>
      </text>
    </comment>
    <comment ref="C276" authorId="0" shapeId="0" xr:uid="{C5990311-741F-4C70-B03A-DAADC7EFDE70}">
      <text>
        <r>
          <rPr>
            <sz val="10"/>
            <color rgb="FF000000"/>
            <rFont val="Arial"/>
          </rPr>
          <t>mining</t>
        </r>
      </text>
    </comment>
    <comment ref="C278" authorId="0" shapeId="0" xr:uid="{81EBEF0D-BC7E-415C-BE83-F4E755638635}">
      <text>
        <r>
          <rPr>
            <sz val="10"/>
            <color rgb="FF000000"/>
            <rFont val="Arial"/>
          </rPr>
          <t xml:space="preserve">mining
</t>
        </r>
      </text>
    </comment>
    <comment ref="F282" authorId="0" shapeId="0" xr:uid="{DB02F145-9E42-45E2-90BB-7A586D6A9309}">
      <text>
        <r>
          <rPr>
            <sz val="10"/>
            <color rgb="FF000000"/>
            <rFont val="Arial"/>
          </rPr>
          <t>280 Pakistan
117 Afghanistan
5 India (4 j&amp;k, 1 UP)</t>
        </r>
      </text>
    </comment>
    <comment ref="G282" authorId="0" shapeId="0" xr:uid="{F0AF4C7D-E008-42A2-8F1D-D36551781CEB}">
      <text>
        <r>
          <rPr>
            <sz val="10"/>
            <color rgb="FF000000"/>
            <rFont val="Arial"/>
          </rPr>
          <t>1770 Pakistan
544 Afghanistan
21 Tajikistan
20 India</t>
        </r>
      </text>
    </comment>
    <comment ref="H282" authorId="0" shapeId="0" xr:uid="{99AA9D45-6A70-4574-B9A6-856B8EF2DA4E}">
      <text>
        <r>
          <rPr>
            <sz val="10"/>
            <color rgb="FF000000"/>
            <rFont val="Arial"/>
          </rPr>
          <t>Damage Level 5 in Afghanistan
Damage Level 5+ in Pakistan
Damage Level 3 in Tajikistan
Damage Level 3 - 4 in India
Damage Level 1 - 2 in Kyrgyztan
Damage Level 1 in China</t>
        </r>
      </text>
    </comment>
    <comment ref="I282" authorId="0" shapeId="0" xr:uid="{7EF43807-D756-487E-A337-5BC07605B285}">
      <text>
        <r>
          <rPr>
            <sz val="10"/>
            <color rgb="FF000000"/>
            <rFont val="Arial"/>
          </rPr>
          <t>Pak: 79893
12794 Afghanistan</t>
        </r>
      </text>
    </comment>
    <comment ref="J282" authorId="0" shapeId="0" xr:uid="{DBE6C399-C741-4DB8-86E4-4EAE28A6A57F}">
      <text>
        <r>
          <rPr>
            <sz val="10"/>
            <color rgb="FF000000"/>
            <rFont val="Arial"/>
          </rPr>
          <t xml:space="preserve">Pak: 29230
Afg: 7384
Ind: 20
Taj: 8
     </t>
        </r>
      </text>
    </comment>
    <comment ref="C300" authorId="0" shapeId="0" xr:uid="{F0D36A03-5C64-4821-9787-BE379CA8048B}">
      <text>
        <r>
          <rPr>
            <sz val="10"/>
            <color rgb="FF000000"/>
            <rFont val="Arial"/>
          </rPr>
          <t>waste water injection</t>
        </r>
      </text>
    </comment>
    <comment ref="C309" authorId="0" shapeId="0" xr:uid="{FFA0D8D6-4A40-4340-B816-AD97D9919B0A}">
      <text>
        <r>
          <rPr>
            <sz val="10"/>
            <color rgb="FF000000"/>
            <rFont val="Arial"/>
          </rPr>
          <t>Coal mining</t>
        </r>
      </text>
    </comment>
    <comment ref="C310" authorId="0" shapeId="0" xr:uid="{098DDAEA-CF03-4F77-9E7F-0C03C16A920B}">
      <text>
        <r>
          <rPr>
            <sz val="10"/>
            <color rgb="FF000000"/>
            <rFont val="Arial"/>
          </rPr>
          <t>Waste water injection</t>
        </r>
      </text>
    </comment>
    <comment ref="F318" authorId="0" shapeId="0" xr:uid="{432B6CF3-30F8-4CC2-9CF5-18003CF4C9FB}">
      <text>
        <r>
          <rPr>
            <sz val="10"/>
            <color rgb="FF000000"/>
            <rFont val="Arial"/>
          </rPr>
          <t>collapse of an excavation, relation to prior earthquake unclear</t>
        </r>
      </text>
    </comment>
    <comment ref="H321" authorId="0" shapeId="0" xr:uid="{22754DBB-54D9-43AA-9803-001ACCF6458D}">
      <text>
        <r>
          <rPr>
            <sz val="10"/>
            <color rgb="FF000000"/>
            <rFont val="Arial"/>
          </rPr>
          <t xml:space="preserve">Brazil: Damage Level 1-2
Bolivia: Damage Level 1-2
Peru: Damage Level 1 (landslide)
</t>
        </r>
      </text>
    </comment>
    <comment ref="I321" authorId="0" shapeId="0" xr:uid="{94641190-8C6A-4008-B5B5-54DDA3B4C11F}">
      <text>
        <r>
          <rPr>
            <sz val="10"/>
            <color rgb="FF000000"/>
            <rFont val="Arial"/>
          </rPr>
          <t>Bolivia: 25
Brazil: 45
  39 Amazonas
  3 Mato Grosso
  3 Rondonia</t>
        </r>
      </text>
    </comment>
    <comment ref="H322" authorId="0" shapeId="0" xr:uid="{83C4E260-5F12-42FA-81A6-322B79B14923}">
      <text>
        <r>
          <rPr>
            <sz val="10"/>
            <color rgb="FF000000"/>
            <rFont val="Arial"/>
          </rPr>
          <t>Landslide (road damage)</t>
        </r>
      </text>
    </comment>
    <comment ref="H334" authorId="0" shapeId="0" xr:uid="{15A64EE1-C9BA-49CD-9432-A9C9DC3607AB}">
      <text>
        <r>
          <rPr>
            <sz val="10"/>
            <color rgb="FF000000"/>
            <rFont val="Arial"/>
          </rPr>
          <t>Tajikistan: 4
China: 1 - 2
Kyrgyzstan: 1</t>
        </r>
      </text>
    </comment>
    <comment ref="I334" authorId="0" shapeId="0" xr:uid="{6CE1E46F-CD47-40A4-8D3A-82AF91B8006C}">
      <text>
        <r>
          <rPr>
            <sz val="10"/>
            <color rgb="FF000000"/>
            <rFont val="Arial"/>
          </rPr>
          <t xml:space="preserve">Tajikistan: 632
China: 40
Kyrgyzstan: 5
</t>
        </r>
      </text>
    </comment>
    <comment ref="J334" authorId="0" shapeId="0" xr:uid="{042834AD-4194-453E-838F-24AEF58E23F1}">
      <text>
        <r>
          <rPr>
            <sz val="10"/>
            <color rgb="FF000000"/>
            <rFont val="Arial"/>
          </rPr>
          <t>Tajikistan: 237</t>
        </r>
      </text>
    </comment>
    <comment ref="H336" authorId="0" shapeId="0" xr:uid="{85C1D55C-5E2A-43F5-B1A5-DDADA8867806}">
      <text>
        <r>
          <rPr>
            <sz val="10"/>
            <color rgb="FF000000"/>
            <rFont val="Arial"/>
          </rPr>
          <t>road damage</t>
        </r>
      </text>
    </comment>
    <comment ref="H343" authorId="0" shapeId="0" xr:uid="{5A5FA4B8-4AE1-4E5D-B391-5FB05EE85EF6}">
      <text>
        <r>
          <rPr>
            <sz val="10"/>
            <color rgb="FF000000"/>
            <rFont val="Arial"/>
          </rPr>
          <t>Indonesia: 3
Malaysia: 1</t>
        </r>
      </text>
    </comment>
    <comment ref="C346" authorId="0" shapeId="0" xr:uid="{254A6AB3-9A34-43C8-B273-4B2DE312A627}">
      <text>
        <r>
          <rPr>
            <sz val="10"/>
            <color rgb="FF000000"/>
            <rFont val="Arial"/>
          </rPr>
          <t>mining</t>
        </r>
      </text>
    </comment>
    <comment ref="C349" authorId="0" shapeId="0" xr:uid="{EC32AA2C-3102-4A9C-A010-6FB019223247}">
      <text>
        <r>
          <rPr>
            <sz val="10"/>
            <color rgb="FF000000"/>
            <rFont val="Arial"/>
          </rPr>
          <t>mine collapse</t>
        </r>
      </text>
    </comment>
    <comment ref="F351" authorId="0" shapeId="0" xr:uid="{EC7E8502-7D8B-46BC-8921-230FF4003BE1}">
      <text>
        <r>
          <rPr>
            <sz val="10"/>
            <color rgb="FF000000"/>
            <rFont val="Arial"/>
          </rPr>
          <t>Pakistan: 4
India: 2</t>
        </r>
      </text>
    </comment>
    <comment ref="G351" authorId="0" shapeId="0" xr:uid="{914AC0EB-6A77-4AE7-99BA-817083B809B3}">
      <text>
        <r>
          <rPr>
            <sz val="10"/>
            <color rgb="FF000000"/>
            <rFont val="Arial"/>
          </rPr>
          <t xml:space="preserve">K-P (PAK): 92
(PAK): 12
Nangahar (AFG): 13
Kunar (AFG): 2
 </t>
        </r>
      </text>
    </comment>
    <comment ref="H351" authorId="0" shapeId="0" xr:uid="{BCA8D4FE-FCCC-4C2D-8858-EB977153D7E7}">
      <text>
        <r>
          <rPr>
            <sz val="10"/>
            <color rgb="FF000000"/>
            <rFont val="Arial"/>
          </rPr>
          <t>Afghanistan: 3 - 4
Pakistan: 3
India: 1 - 2</t>
        </r>
      </text>
    </comment>
    <comment ref="I351" authorId="0" shapeId="0" xr:uid="{555F8D04-9B2A-4D63-840C-595EB0778DCA}">
      <text>
        <r>
          <rPr>
            <sz val="10"/>
            <color rgb="FF000000"/>
            <rFont val="Arial"/>
          </rPr>
          <t>Afghanistan: 91
Pakistan: 12</t>
        </r>
      </text>
    </comment>
    <comment ref="J351" authorId="0" shapeId="0" xr:uid="{F90DD1AF-6AD1-47AB-A913-E122404E3629}">
      <text>
        <r>
          <rPr>
            <sz val="10"/>
            <color rgb="FF000000"/>
            <rFont val="Arial"/>
          </rPr>
          <t>Afghanistan: 6</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D2" authorId="0" shapeId="0" xr:uid="{5EF513C8-B0D4-46F7-BB87-F5939CD95937}">
      <text>
        <r>
          <rPr>
            <sz val="10"/>
            <color rgb="FF000000"/>
            <rFont val="Arial"/>
          </rPr>
          <t>Waste Water injection</t>
        </r>
      </text>
    </comment>
    <comment ref="I6" authorId="0" shapeId="0" xr:uid="{96DE24ED-3C0A-42FB-9588-6EB26EC3B9F5}">
      <text>
        <r>
          <rPr>
            <sz val="10"/>
            <color rgb="FF000000"/>
            <rFont val="Arial"/>
          </rPr>
          <t>India: 4 - 5
Bangladesh: 3
Bhutan: 2</t>
        </r>
      </text>
    </comment>
    <comment ref="J6" authorId="0" shapeId="0" xr:uid="{2889B0DE-6759-415D-B1D5-16323DA7CF7A}">
      <text>
        <r>
          <rPr>
            <sz val="10"/>
            <color rgb="FF000000"/>
            <rFont val="Arial"/>
          </rPr>
          <t>Bhutan: 388
Manipur: 10555</t>
        </r>
      </text>
    </comment>
    <comment ref="K6" authorId="0" shapeId="0" xr:uid="{D3D97B44-B1C4-403E-9592-A0D2FF804498}">
      <text>
        <r>
          <rPr>
            <sz val="10"/>
            <color rgb="FF000000"/>
            <rFont val="Arial"/>
          </rPr>
          <t>Manipur: 995</t>
        </r>
      </text>
    </comment>
    <comment ref="D10" authorId="0" shapeId="0" xr:uid="{3F905F8F-0DEC-42F2-8F21-7DA4622F26F7}">
      <text>
        <r>
          <rPr>
            <sz val="10"/>
            <color rgb="FF000000"/>
            <rFont val="Arial"/>
          </rPr>
          <t>Nuclear Test</t>
        </r>
      </text>
    </comment>
    <comment ref="D11" authorId="0" shapeId="0" xr:uid="{E84D2B10-513B-4147-AFF3-5F6A8004CE34}">
      <text>
        <r>
          <rPr>
            <sz val="10"/>
            <color rgb="FF000000"/>
            <rFont val="Arial"/>
          </rPr>
          <t>Waste Water injection</t>
        </r>
      </text>
    </comment>
    <comment ref="D20" authorId="0" shapeId="0" xr:uid="{D4F2D046-2E0B-4C52-A70B-D6F73A40214F}">
      <text>
        <r>
          <rPr>
            <sz val="10"/>
            <color rgb="FF000000"/>
            <rFont val="Arial"/>
          </rPr>
          <t>volcanic quake</t>
        </r>
      </text>
    </comment>
    <comment ref="D23" authorId="0" shapeId="0" xr:uid="{7E6EB6C9-EA7C-4DFF-B436-A77A368AA4A1}">
      <text>
        <r>
          <rPr>
            <sz val="10"/>
            <color rgb="FF000000"/>
            <rFont val="Arial"/>
          </rPr>
          <t>Natural gas extraction</t>
        </r>
      </text>
    </comment>
    <comment ref="D30" authorId="0" shapeId="0" xr:uid="{4B75356E-2B5C-418B-AB8C-7F52C52EC661}">
      <text>
        <r>
          <rPr>
            <sz val="10"/>
            <color rgb="FF000000"/>
            <rFont val="Arial"/>
          </rPr>
          <t>mining</t>
        </r>
      </text>
    </comment>
    <comment ref="D52" authorId="0" shapeId="0" xr:uid="{F3753929-8F6D-46D6-A1DB-FEF092D184B0}">
      <text>
        <r>
          <rPr>
            <sz val="10"/>
            <color rgb="FF000000"/>
            <rFont val="Arial"/>
          </rPr>
          <t>Waste Water injection</t>
        </r>
      </text>
    </comment>
    <comment ref="D62" authorId="0" shapeId="0" xr:uid="{203A8B38-E6B5-46DE-A7B3-93F28F453372}">
      <text>
        <r>
          <rPr>
            <sz val="10"/>
            <color rgb="FF000000"/>
            <rFont val="Arial"/>
          </rPr>
          <t xml:space="preserve">natural gas extraction
</t>
        </r>
      </text>
    </comment>
    <comment ref="L63" authorId="0" shapeId="0" xr:uid="{4270A147-B13D-4F20-A3EC-FEBB913DC486}">
      <text>
        <r>
          <rPr>
            <sz val="10"/>
            <color rgb="FF000000"/>
            <rFont val="Arial"/>
          </rPr>
          <t>Cocos-Island (AU): 10 cm
Mentawai (ID): 5 cm</t>
        </r>
      </text>
    </comment>
    <comment ref="D66" authorId="0" shapeId="0" xr:uid="{968397B2-E414-4D6B-9B6C-D94BED22ED65}">
      <text>
        <r>
          <rPr>
            <sz val="10"/>
            <color rgb="FF000000"/>
            <rFont val="Arial"/>
          </rPr>
          <t xml:space="preserve">Reservoir induced
</t>
        </r>
      </text>
    </comment>
    <comment ref="G76" authorId="0" shapeId="0" xr:uid="{F629F0F5-595C-4A71-8815-931572826A62}">
      <text>
        <r>
          <rPr>
            <sz val="10"/>
            <color rgb="FF000000"/>
            <rFont val="Arial"/>
          </rPr>
          <t xml:space="preserve">Avalanche
</t>
        </r>
      </text>
    </comment>
    <comment ref="D78" authorId="0" shapeId="0" xr:uid="{DCD4CE6A-1126-4755-B54B-C91F7073F7B6}">
      <text>
        <r>
          <rPr>
            <sz val="10"/>
            <color rgb="FF000000"/>
            <rFont val="Arial"/>
          </rPr>
          <t>mining</t>
        </r>
      </text>
    </comment>
    <comment ref="I86" authorId="0" shapeId="0" xr:uid="{E7E41DBE-914A-4EE0-A37A-CA620488BB89}">
      <text>
        <r>
          <rPr>
            <sz val="10"/>
            <color rgb="FF000000"/>
            <rFont val="Arial"/>
          </rPr>
          <t>Pakistan: 3 - 4
Afghanistan: 3
India: 2
China: 1 - 2</t>
        </r>
      </text>
    </comment>
    <comment ref="G92" authorId="0" shapeId="0" xr:uid="{48CFA43E-93B8-45D6-A5B2-E697B6BD5093}">
      <text>
        <r>
          <rPr>
            <sz val="10"/>
            <color rgb="FF000000"/>
            <rFont val="Arial"/>
          </rPr>
          <t>Guwahati: 2</t>
        </r>
      </text>
    </comment>
    <comment ref="H92" authorId="0" shapeId="0" xr:uid="{D2F39307-F6AE-4B5E-8337-C1AB7DFBA9CC}">
      <text>
        <r>
          <rPr>
            <sz val="10"/>
            <color rgb="FF000000"/>
            <rFont val="Arial"/>
          </rPr>
          <t>Bangladesh: 114
West Bengal: 12
Aruchanal Pradesh: 16
Manipur: 30
Assam: 70
Mizoram: 5</t>
        </r>
      </text>
    </comment>
    <comment ref="I92" authorId="0" shapeId="0" xr:uid="{15F69B55-1A8C-45F9-BFC9-E5DC13284E4C}">
      <text>
        <r>
          <rPr>
            <sz val="10"/>
            <color rgb="FF000000"/>
            <rFont val="Arial"/>
          </rPr>
          <t>India: 3 - 4
Myanmar: 3 - 4
Bangladesh: 3</t>
        </r>
      </text>
    </comment>
    <comment ref="H96" authorId="0" shapeId="0" xr:uid="{688CD0E3-8EE7-48C5-9189-BDDD9826351B}">
      <text>
        <r>
          <rPr>
            <sz val="10"/>
            <color rgb="FF000000"/>
            <rFont val="Arial"/>
          </rPr>
          <t>Kumamoto City: 645
Mashiki: &gt;400
Uki: 24
Kashima-Cho: 4
Yatsushiro: 4
Mifune-cho: 4
Hikawa-cho: 2
Ozu-machi: 1
Tol-machi: 1
Nishihara: 1</t>
        </r>
      </text>
    </comment>
    <comment ref="G99" authorId="0" shapeId="0" xr:uid="{DACF168E-002F-44B2-8C92-A329C6B1703A}">
      <text>
        <r>
          <rPr>
            <sz val="10"/>
            <color rgb="FF000000"/>
            <rFont val="Arial"/>
          </rPr>
          <t xml:space="preserve">671 people killed in EC, 1 in Colombia
</t>
        </r>
      </text>
    </comment>
    <comment ref="D102" authorId="0" shapeId="0" xr:uid="{3A48EA0B-53E2-4B1D-AE66-3D3ABFA15A29}">
      <text>
        <r>
          <rPr>
            <sz val="10"/>
            <color rgb="FF000000"/>
            <rFont val="Arial"/>
          </rPr>
          <t xml:space="preserve">Natural Gas extraction
</t>
        </r>
      </text>
    </comment>
    <comment ref="L107" authorId="0" shapeId="0" xr:uid="{DB680064-D30D-49C2-BC4B-731FAB4B011B}">
      <text>
        <r>
          <rPr>
            <sz val="10"/>
            <color rgb="FF000000"/>
            <rFont val="Arial"/>
          </rPr>
          <t>http://www.ngdc.noaa.gov/nndc/struts/results?eq_0=10179&amp;t=101650&amp;s=18&amp;d=99,91,95,93&amp;nd=display</t>
        </r>
      </text>
    </comment>
    <comment ref="D132" authorId="0" shapeId="0" xr:uid="{5DFD10C8-B79D-4E23-BE3E-4CAEEA876431}">
      <text>
        <r>
          <rPr>
            <sz val="10"/>
            <color rgb="FF000000"/>
            <rFont val="Arial"/>
          </rPr>
          <t>Unknown Magnitude, date unsure. Accident in a Kimberlite-Mine with at least 2 injuries. Only a few information were provided by the mining company. It is unknown if it was a mining induced earthquake</t>
        </r>
      </text>
    </comment>
    <comment ref="D133" authorId="0" shapeId="0" xr:uid="{8AD84D71-BEF8-4EB0-8A4A-B9B0816B3B28}">
      <text>
        <r>
          <rPr>
            <sz val="10"/>
            <color rgb="FF000000"/>
            <rFont val="Arial"/>
          </rPr>
          <t>Coal mining</t>
        </r>
      </text>
    </comment>
    <comment ref="D139" authorId="0" shapeId="0" xr:uid="{7DCAC447-39D4-468B-B607-01733C30C0F8}">
      <text>
        <r>
          <rPr>
            <sz val="10"/>
            <color rgb="FF000000"/>
            <rFont val="Arial"/>
          </rPr>
          <t>Coal mining</t>
        </r>
      </text>
    </comment>
    <comment ref="D162" authorId="0" shapeId="0" xr:uid="{78C1BEDF-86B6-4888-AB2C-A6E1E860957A}">
      <text>
        <r>
          <rPr>
            <sz val="10"/>
            <color rgb="FF000000"/>
            <rFont val="Arial"/>
          </rPr>
          <t>Likely induced by oil extraction</t>
        </r>
      </text>
    </comment>
    <comment ref="D195" authorId="0" shapeId="0" xr:uid="{64817FA1-D673-4A74-B56C-A22B907101C6}">
      <text>
        <r>
          <rPr>
            <sz val="10"/>
            <color rgb="FF000000"/>
            <rFont val="Arial"/>
          </rPr>
          <t>waste water injection</t>
        </r>
      </text>
    </comment>
    <comment ref="G230" authorId="0" shapeId="0" xr:uid="{8907F5E7-6A1F-4DA1-BA93-FD781154EB9E}">
      <text>
        <r>
          <rPr>
            <sz val="10"/>
            <color rgb="FF000000"/>
            <rFont val="Arial"/>
          </rPr>
          <t>Tanzania: 20
Uganda: 4</t>
        </r>
      </text>
    </comment>
    <comment ref="H230" authorId="0" shapeId="0" xr:uid="{D8E79E5D-A8DF-4C63-BE44-1D13DBDA184D}">
      <text>
        <r>
          <rPr>
            <sz val="10"/>
            <color rgb="FF000000"/>
            <rFont val="Arial"/>
          </rPr>
          <t xml:space="preserve">Tanzania: 613
Uganda: 6
</t>
        </r>
      </text>
    </comment>
    <comment ref="J230" authorId="0" shapeId="0" xr:uid="{D7E91ED0-192F-478D-937C-F29B31AC3585}">
      <text>
        <r>
          <rPr>
            <sz val="10"/>
            <color rgb="FF000000"/>
            <rFont val="Arial"/>
          </rPr>
          <t>Uganda: 3200
Tansania: 11395</t>
        </r>
      </text>
    </comment>
    <comment ref="K230" authorId="0" shapeId="0" xr:uid="{B771F26C-614B-4F14-B8EB-8E135BFBB2A4}">
      <text>
        <r>
          <rPr>
            <sz val="10"/>
            <color rgb="FF000000"/>
            <rFont val="Arial"/>
          </rPr>
          <t>Tanzania: 2072
Uganda: 600</t>
        </r>
      </text>
    </comment>
    <comment ref="G246" authorId="0" shapeId="0" xr:uid="{246C3E02-3CB3-42BF-9B21-008698584D79}">
      <text>
        <r>
          <rPr>
            <sz val="10"/>
            <color rgb="FF000000"/>
            <rFont val="Arial"/>
          </rPr>
          <t>Congo DR: 6
Rwanda: 1</t>
        </r>
      </text>
    </comment>
    <comment ref="H246" authorId="0" shapeId="0" xr:uid="{B5D0E947-3358-4891-9D65-6EA4F0D074E8}">
      <text>
        <r>
          <rPr>
            <sz val="10"/>
            <color rgb="FF000000"/>
            <rFont val="Arial"/>
          </rPr>
          <t>Congo DR: 64
Rwanda: 20</t>
        </r>
      </text>
    </comment>
    <comment ref="K254" authorId="0" shapeId="0" xr:uid="{50D1C64A-02F8-478A-8457-53547B4BB674}">
      <text>
        <r>
          <rPr>
            <sz val="10"/>
            <color rgb="FF000000"/>
            <rFont val="Arial"/>
          </rPr>
          <t xml:space="preserve">2 Albania
4 Greece
</t>
        </r>
      </text>
    </comment>
    <comment ref="D258" authorId="0" shapeId="0" xr:uid="{CC6D73A8-C235-4BEA-9E97-49C456FB3A82}">
      <text>
        <r>
          <rPr>
            <sz val="10"/>
            <color rgb="FF000000"/>
            <rFont val="Arial"/>
          </rPr>
          <t>mining</t>
        </r>
      </text>
    </comment>
    <comment ref="H270" authorId="0" shapeId="0" xr:uid="{A3394100-E78A-4A74-B006-038D01BFFFFF}">
      <text>
        <r>
          <rPr>
            <sz val="10"/>
            <color rgb="FF000000"/>
            <rFont val="Arial"/>
          </rPr>
          <t xml:space="preserve">Amatrice 2
Tolentino 3
Norcia 9
Cascia 9
</t>
        </r>
      </text>
    </comment>
    <comment ref="D273" authorId="0" shapeId="0" xr:uid="{5116D52B-5629-41F2-A7CE-BC7E14F73382}">
      <text>
        <r>
          <rPr>
            <sz val="10"/>
            <color rgb="FF000000"/>
            <rFont val="Arial"/>
          </rPr>
          <t>Waste Water injection</t>
        </r>
      </text>
    </comment>
    <comment ref="D278" authorId="0" shapeId="0" xr:uid="{E69076FF-AFB9-4282-BD3C-5702777F9C17}">
      <text>
        <r>
          <rPr>
            <sz val="10"/>
            <color rgb="FF000000"/>
            <rFont val="Arial"/>
          </rPr>
          <t>Waste Water injection</t>
        </r>
      </text>
    </comment>
    <comment ref="D279" authorId="0" shapeId="0" xr:uid="{E6D9C078-ADDE-4B4C-8EF6-CC775F275EFC}">
      <text>
        <r>
          <rPr>
            <sz val="10"/>
            <color rgb="FF000000"/>
            <rFont val="Arial"/>
          </rPr>
          <t>Mining</t>
        </r>
      </text>
    </comment>
    <comment ref="D283" authorId="0" shapeId="0" xr:uid="{ABE28373-CB57-4EDA-8AC8-47325D464DC3}">
      <text>
        <r>
          <rPr>
            <sz val="10"/>
            <color rgb="FF000000"/>
            <rFont val="Arial"/>
          </rPr>
          <t xml:space="preserve">Natural Gas extraction
</t>
        </r>
      </text>
    </comment>
    <comment ref="D298" authorId="0" shapeId="0" xr:uid="{22DC8915-59A5-4DEC-9118-B90478CA0838}">
      <text>
        <r>
          <rPr>
            <sz val="10"/>
            <color rgb="FF000000"/>
            <rFont val="Arial"/>
          </rPr>
          <t xml:space="preserve">mining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G3" authorId="0" shapeId="0" xr:uid="{00000000-0006-0000-0000-000002000000}">
      <text>
        <r>
          <rPr>
            <sz val="10"/>
            <color rgb="FF000000"/>
            <rFont val="Arial"/>
          </rPr>
          <t xml:space="preserve">2 Bangladesh
1 Tripura
</t>
        </r>
      </text>
    </comment>
    <comment ref="H3" authorId="0" shapeId="0" xr:uid="{00000000-0006-0000-0000-000003000000}">
      <text>
        <r>
          <rPr>
            <sz val="10"/>
            <color rgb="FF000000"/>
            <rFont val="Arial"/>
          </rPr>
          <t>estimated
confirmed: 3 in Sylhet
7 in Tripura
"some dozend" in Dhaka
15 Moulvibazar</t>
        </r>
      </text>
    </comment>
    <comment ref="I3" authorId="0" shapeId="0" xr:uid="{00000000-0006-0000-0000-000004000000}">
      <text>
        <r>
          <rPr>
            <sz val="10"/>
            <color rgb="FF000000"/>
            <rFont val="Arial"/>
          </rPr>
          <t xml:space="preserve">estimated
108 families in Tripura
</t>
        </r>
      </text>
    </comment>
    <comment ref="K3" authorId="0" shapeId="0" xr:uid="{00000000-0006-0000-0000-000005000000}">
      <text>
        <r>
          <rPr>
            <sz val="10"/>
            <color rgb="FF000000"/>
            <rFont val="Arial"/>
          </rPr>
          <t>Tripura: 1156
Bangladesh: 300 (est)</t>
        </r>
      </text>
    </comment>
    <comment ref="L3" authorId="0" shapeId="0" xr:uid="{00000000-0006-0000-0000-000006000000}">
      <text>
        <r>
          <rPr>
            <sz val="10"/>
            <color rgb="FF000000"/>
            <rFont val="Arial"/>
          </rPr>
          <t xml:space="preserve">estimated
156 in Tripura
</t>
        </r>
      </text>
    </comment>
    <comment ref="K4" authorId="0" shapeId="0" xr:uid="{00000000-0006-0000-0000-000008000000}">
      <text>
        <r>
          <rPr>
            <sz val="10"/>
            <color rgb="FF000000"/>
            <rFont val="Arial"/>
          </rPr>
          <t>estimated</t>
        </r>
      </text>
    </comment>
    <comment ref="K6" authorId="0" shapeId="0" xr:uid="{00000000-0006-0000-0000-00000B000000}">
      <text>
        <r>
          <rPr>
            <sz val="10"/>
            <color rgb="FF000000"/>
            <rFont val="Arial"/>
          </rPr>
          <t>estimated</t>
        </r>
      </text>
    </comment>
    <comment ref="L6" authorId="0" shapeId="0" xr:uid="{00000000-0006-0000-0000-00000C000000}">
      <text>
        <r>
          <rPr>
            <sz val="10"/>
            <color rgb="FF000000"/>
            <rFont val="Arial"/>
          </rPr>
          <t>estimated</t>
        </r>
      </text>
    </comment>
    <comment ref="K8" authorId="0" shapeId="0" xr:uid="{00000000-0006-0000-0000-00000F000000}">
      <text>
        <r>
          <rPr>
            <sz val="10"/>
            <color rgb="FF000000"/>
            <rFont val="Arial"/>
          </rPr>
          <t>estimated</t>
        </r>
      </text>
    </comment>
    <comment ref="I11" authorId="0" shapeId="0" xr:uid="{00000000-0006-0000-0000-000013000000}">
      <text>
        <r>
          <rPr>
            <sz val="10"/>
            <color rgb="FF000000"/>
            <rFont val="Arial"/>
          </rPr>
          <t>estimated</t>
        </r>
      </text>
    </comment>
    <comment ref="K11" authorId="0" shapeId="0" xr:uid="{00000000-0006-0000-0000-000014000000}">
      <text>
        <r>
          <rPr>
            <sz val="10"/>
            <color rgb="FF000000"/>
            <rFont val="Arial"/>
          </rPr>
          <t>estimated</t>
        </r>
      </text>
    </comment>
    <comment ref="L11" authorId="0" shapeId="0" xr:uid="{00000000-0006-0000-0000-000015000000}">
      <text>
        <r>
          <rPr>
            <sz val="10"/>
            <color rgb="FF000000"/>
            <rFont val="Arial"/>
          </rPr>
          <t>estimated</t>
        </r>
      </text>
    </comment>
    <comment ref="I12" authorId="0" shapeId="0" xr:uid="{00000000-0006-0000-0000-000017000000}">
      <text>
        <r>
          <rPr>
            <sz val="10"/>
            <color rgb="FF000000"/>
            <rFont val="Arial"/>
          </rPr>
          <t>estimated</t>
        </r>
      </text>
    </comment>
    <comment ref="K12" authorId="0" shapeId="0" xr:uid="{00000000-0006-0000-0000-000018000000}">
      <text>
        <r>
          <rPr>
            <sz val="10"/>
            <color rgb="FF000000"/>
            <rFont val="Arial"/>
          </rPr>
          <t>estimated</t>
        </r>
      </text>
    </comment>
    <comment ref="L12" authorId="0" shapeId="0" xr:uid="{00000000-0006-0000-0000-000019000000}">
      <text>
        <r>
          <rPr>
            <sz val="10"/>
            <color rgb="FF000000"/>
            <rFont val="Arial"/>
          </rPr>
          <t>estimated</t>
        </r>
      </text>
    </comment>
    <comment ref="I14" authorId="0" shapeId="0" xr:uid="{00000000-0006-0000-0000-00001C000000}">
      <text>
        <r>
          <rPr>
            <sz val="10"/>
            <color rgb="FF000000"/>
            <rFont val="Arial"/>
          </rPr>
          <t>estimated</t>
        </r>
      </text>
    </comment>
    <comment ref="K14" authorId="0" shapeId="0" xr:uid="{00000000-0006-0000-0000-00001D000000}">
      <text>
        <r>
          <rPr>
            <sz val="10"/>
            <color rgb="FF000000"/>
            <rFont val="Arial"/>
          </rPr>
          <t>estimated</t>
        </r>
      </text>
    </comment>
    <comment ref="K15" authorId="0" shapeId="0" xr:uid="{00000000-0006-0000-0000-00001F000000}">
      <text>
        <r>
          <rPr>
            <sz val="10"/>
            <color rgb="FF000000"/>
            <rFont val="Arial"/>
          </rPr>
          <t xml:space="preserve">estimated
</t>
        </r>
      </text>
    </comment>
    <comment ref="K16" authorId="0" shapeId="0" xr:uid="{00000000-0006-0000-0000-000021000000}">
      <text>
        <r>
          <rPr>
            <sz val="10"/>
            <color rgb="FF000000"/>
            <rFont val="Arial"/>
          </rPr>
          <t xml:space="preserve">estimated
</t>
        </r>
      </text>
    </comment>
    <comment ref="K17" authorId="0" shapeId="0" xr:uid="{00000000-0006-0000-0000-000023000000}">
      <text>
        <r>
          <rPr>
            <sz val="10"/>
            <color rgb="FF000000"/>
            <rFont val="Arial"/>
          </rPr>
          <t>estimated</t>
        </r>
      </text>
    </comment>
    <comment ref="I18" authorId="0" shapeId="0" xr:uid="{00000000-0006-0000-0000-000025000000}">
      <text>
        <r>
          <rPr>
            <sz val="10"/>
            <color rgb="FF000000"/>
            <rFont val="Arial"/>
          </rPr>
          <t>estimated</t>
        </r>
      </text>
    </comment>
    <comment ref="K18" authorId="0" shapeId="0" xr:uid="{00000000-0006-0000-0000-000026000000}">
      <text>
        <r>
          <rPr>
            <sz val="10"/>
            <color rgb="FF000000"/>
            <rFont val="Arial"/>
          </rPr>
          <t>estimated</t>
        </r>
      </text>
    </comment>
    <comment ref="L18" authorId="0" shapeId="0" xr:uid="{00000000-0006-0000-0000-000027000000}">
      <text>
        <r>
          <rPr>
            <sz val="10"/>
            <color rgb="FF000000"/>
            <rFont val="Arial"/>
          </rPr>
          <t>estimated</t>
        </r>
      </text>
    </comment>
    <comment ref="D19" authorId="0" shapeId="0" xr:uid="{00000000-0006-0000-0000-000029000000}">
      <text>
        <r>
          <rPr>
            <sz val="10"/>
            <color rgb="FF000000"/>
            <rFont val="Arial"/>
          </rPr>
          <t>Hydraulic Fracturing</t>
        </r>
      </text>
    </comment>
    <comment ref="K21" authorId="0" shapeId="0" xr:uid="{00000000-0006-0000-0000-00002C000000}">
      <text>
        <r>
          <rPr>
            <sz val="10"/>
            <color rgb="FF000000"/>
            <rFont val="Arial"/>
          </rPr>
          <t xml:space="preserve">estimated
</t>
        </r>
      </text>
    </comment>
    <comment ref="K22" authorId="0" shapeId="0" xr:uid="{00000000-0006-0000-0000-00002E000000}">
      <text>
        <r>
          <rPr>
            <sz val="10"/>
            <color rgb="FF000000"/>
            <rFont val="Arial"/>
          </rPr>
          <t xml:space="preserve">estimated
</t>
        </r>
      </text>
    </comment>
    <comment ref="K24" authorId="0" shapeId="0" xr:uid="{00000000-0006-0000-0000-000031000000}">
      <text>
        <r>
          <rPr>
            <sz val="10"/>
            <color rgb="FF000000"/>
            <rFont val="Arial"/>
          </rPr>
          <t xml:space="preserve">estimated
</t>
        </r>
      </text>
    </comment>
    <comment ref="L25" authorId="0" shapeId="0" xr:uid="{00000000-0006-0000-0000-000033000000}">
      <text>
        <r>
          <rPr>
            <sz val="10"/>
            <color rgb="FF000000"/>
            <rFont val="Arial"/>
          </rPr>
          <t xml:space="preserve">estimated
</t>
        </r>
      </text>
    </comment>
    <comment ref="D27" authorId="0" shapeId="0" xr:uid="{00000000-0006-0000-0000-000037000000}">
      <text>
        <r>
          <rPr>
            <sz val="10"/>
            <color rgb="FF000000"/>
            <rFont val="Arial"/>
          </rPr>
          <t>Mining</t>
        </r>
      </text>
    </comment>
    <comment ref="D30" authorId="0" shapeId="0" xr:uid="{00000000-0006-0000-0000-00003A000000}">
      <text>
        <r>
          <rPr>
            <sz val="10"/>
            <color rgb="FF000000"/>
            <rFont val="Arial"/>
          </rPr>
          <t>Hydraulic Fracturing</t>
        </r>
      </text>
    </comment>
    <comment ref="D54" authorId="0" shapeId="0" xr:uid="{00000000-0006-0000-0000-00004E000000}">
      <text>
        <r>
          <rPr>
            <sz val="10"/>
            <color rgb="FF000000"/>
            <rFont val="Arial"/>
          </rPr>
          <t>Waste Water Injection</t>
        </r>
      </text>
    </comment>
    <comment ref="H58" authorId="0" shapeId="0" xr:uid="{00000000-0006-0000-0000-000053000000}">
      <text>
        <r>
          <rPr>
            <sz val="10"/>
            <color rgb="FF000000"/>
            <rFont val="Arial"/>
          </rPr>
          <t>Zambia: 5
Tanzania: 3</t>
        </r>
      </text>
    </comment>
    <comment ref="D72" authorId="0" shapeId="0" xr:uid="{00000000-0006-0000-0000-000060000000}">
      <text>
        <r>
          <rPr>
            <sz val="10"/>
            <color rgb="FF000000"/>
            <rFont val="Arial"/>
          </rPr>
          <t>Mining</t>
        </r>
      </text>
    </comment>
    <comment ref="D81" authorId="0" shapeId="0" xr:uid="{00000000-0006-0000-0000-000069000000}">
      <text>
        <r>
          <rPr>
            <sz val="10"/>
            <color rgb="FF000000"/>
            <rFont val="Arial"/>
          </rPr>
          <t>Mining</t>
        </r>
      </text>
    </comment>
    <comment ref="G90" authorId="0" shapeId="0" xr:uid="{00000000-0006-0000-0000-000072000000}">
      <text>
        <r>
          <rPr>
            <sz val="10"/>
            <color rgb="FF000000"/>
            <rFont val="Arial"/>
          </rPr>
          <t>Landslide</t>
        </r>
      </text>
    </comment>
    <comment ref="H90" authorId="0" shapeId="0" xr:uid="{00000000-0006-0000-0000-000073000000}">
      <text>
        <r>
          <rPr>
            <sz val="10"/>
            <color rgb="FF000000"/>
            <rFont val="Arial"/>
          </rPr>
          <t>landslide</t>
        </r>
      </text>
    </comment>
    <comment ref="L106" authorId="0" shapeId="0" xr:uid="{00000000-0006-0000-0000-000080000000}">
      <text>
        <r>
          <rPr>
            <sz val="10"/>
            <color rgb="FF000000"/>
            <rFont val="Arial"/>
          </rPr>
          <t>114 Kyrgyzstan
11 Tajikistan</t>
        </r>
      </text>
    </comment>
    <comment ref="K111" authorId="0" shapeId="0" xr:uid="{00000000-0006-0000-0000-000086000000}">
      <text>
        <r>
          <rPr>
            <sz val="10"/>
            <color rgb="FF000000"/>
            <rFont val="Arial"/>
          </rPr>
          <t>55 Iran</t>
        </r>
      </text>
    </comment>
    <comment ref="D122" authorId="0" shapeId="0" xr:uid="{00000000-0006-0000-0000-000092000000}">
      <text>
        <r>
          <rPr>
            <sz val="10"/>
            <color rgb="FF000000"/>
            <rFont val="Arial"/>
          </rPr>
          <t>Natural Gas Extraction</t>
        </r>
      </text>
    </comment>
    <comment ref="D125" authorId="0" shapeId="0" xr:uid="{00000000-0006-0000-0000-000096000000}">
      <text>
        <r>
          <rPr>
            <sz val="10"/>
            <color rgb="FF000000"/>
            <rFont val="Arial"/>
          </rPr>
          <t>Mining</t>
        </r>
      </text>
    </comment>
    <comment ref="D128" authorId="0" shapeId="0" xr:uid="{00000000-0006-0000-0000-00009A000000}">
      <text>
        <r>
          <rPr>
            <sz val="10"/>
            <color rgb="FF000000"/>
            <rFont val="Arial"/>
          </rPr>
          <t>Mining</t>
        </r>
      </text>
    </comment>
    <comment ref="H135" authorId="0" shapeId="0" xr:uid="{00000000-0006-0000-0000-0000A2000000}">
      <text>
        <r>
          <rPr>
            <sz val="10"/>
            <color rgb="FF000000"/>
            <rFont val="Arial"/>
          </rPr>
          <t>55 in Guatemala
11 in Chiapas, Mexico</t>
        </r>
      </text>
    </comment>
    <comment ref="K139" authorId="0" shapeId="0" xr:uid="{00000000-0006-0000-0000-0000A7000000}">
      <text>
        <r>
          <rPr>
            <sz val="10"/>
            <color rgb="FF000000"/>
            <rFont val="Arial"/>
          </rPr>
          <t>77 in Guatemala
5 in Tapachula, Chiapas</t>
        </r>
      </text>
    </comment>
    <comment ref="I188" authorId="0" shapeId="0" xr:uid="{00000000-0006-0000-0000-0000D1000000}">
      <text>
        <r>
          <rPr>
            <sz val="10"/>
            <color rgb="FF000000"/>
            <rFont val="Arial"/>
          </rPr>
          <t>Estimated - 2 families displaced</t>
        </r>
      </text>
    </comment>
    <comment ref="D189" authorId="0" shapeId="0" xr:uid="{00000000-0006-0000-0000-0000D3000000}">
      <text>
        <r>
          <rPr>
            <sz val="10"/>
            <color rgb="FF000000"/>
            <rFont val="Arial"/>
          </rPr>
          <t>Natural Gas Extraction</t>
        </r>
      </text>
    </comment>
    <comment ref="D195" authorId="0" shapeId="0" xr:uid="{00000000-0006-0000-0000-0000D8000000}">
      <text>
        <r>
          <rPr>
            <sz val="10"/>
            <color rgb="FF000000"/>
            <rFont val="Arial"/>
          </rPr>
          <t>Mining</t>
        </r>
      </text>
    </comment>
    <comment ref="D197" authorId="0" shapeId="0" xr:uid="{00000000-0006-0000-0000-0000DB000000}">
      <text>
        <r>
          <rPr>
            <sz val="10"/>
            <color rgb="FF000000"/>
            <rFont val="Arial"/>
          </rPr>
          <t>Mining</t>
        </r>
      </text>
    </comment>
    <comment ref="G198" authorId="0" shapeId="0" xr:uid="{00000000-0006-0000-0000-0000DD000000}">
      <text>
        <r>
          <rPr>
            <sz val="10"/>
            <color rgb="FF000000"/>
            <rFont val="Arial"/>
          </rPr>
          <t>80 in Oaxaca
16 in Chiapas
4 in Tabasco</t>
        </r>
      </text>
    </comment>
    <comment ref="H198" authorId="0" shapeId="0" xr:uid="{00000000-0006-0000-0000-0000DE000000}">
      <text>
        <r>
          <rPr>
            <sz val="10"/>
            <color rgb="FF000000"/>
            <rFont val="Arial"/>
          </rPr>
          <t>300 Mexico
4 Guatemala</t>
        </r>
      </text>
    </comment>
    <comment ref="I198" authorId="0" shapeId="0" xr:uid="{00000000-0006-0000-0000-0000DF000000}">
      <text>
        <r>
          <rPr>
            <sz val="10"/>
            <color rgb="FF000000"/>
            <rFont val="Arial"/>
          </rPr>
          <t xml:space="preserve">338,134 in Chiapas
120,000 in Oaxaca
258 in Guatemala
</t>
        </r>
      </text>
    </comment>
    <comment ref="K198" authorId="0" shapeId="0" xr:uid="{00000000-0006-0000-0000-0000E0000000}">
      <text>
        <r>
          <rPr>
            <sz val="10"/>
            <color rgb="FF000000"/>
            <rFont val="Arial"/>
          </rPr>
          <t>58,168 / 2,736 (homes / other) In Chiapas
41,513 / 80,851 (homes / other) in Oaxaca
25,661 in Veracruz (quake + hurricane)
248 in EdoMex
163 in Tabasco
9 in Hidalgo
1 in Guanajuato
1634 Guatemala</t>
        </r>
      </text>
    </comment>
    <comment ref="L198" authorId="0" shapeId="0" xr:uid="{00000000-0006-0000-0000-0000E1000000}">
      <text>
        <r>
          <rPr>
            <sz val="10"/>
            <color rgb="FF000000"/>
            <rFont val="Arial"/>
          </rPr>
          <t>33,081 / 692 Oaxaca
22,340 / 335 in Chiapas
20 in Veracruz
6 in EdoMex
1006 in Guatemala</t>
        </r>
      </text>
    </comment>
    <comment ref="D199" authorId="0" shapeId="0" xr:uid="{00000000-0006-0000-0000-0000E3000000}">
      <text>
        <r>
          <rPr>
            <sz val="10"/>
            <color rgb="FF000000"/>
            <rFont val="Arial"/>
          </rPr>
          <t>Geothermal Power Plant</t>
        </r>
      </text>
    </comment>
    <comment ref="I205" authorId="0" shapeId="0" xr:uid="{00000000-0006-0000-0000-0000EA000000}">
      <text>
        <r>
          <rPr>
            <sz val="10"/>
            <color rgb="FF000000"/>
            <rFont val="Arial"/>
          </rPr>
          <t>Guerrero only</t>
        </r>
      </text>
    </comment>
    <comment ref="K205" authorId="0" shapeId="0" xr:uid="{00000000-0006-0000-0000-0000EB000000}">
      <text>
        <r>
          <rPr>
            <sz val="10"/>
            <color rgb="FF000000"/>
            <rFont val="Arial"/>
          </rPr>
          <t>Puebla: 23,680 (Homes)
CDMX: 12,942
Morelos: 12,876
EdoMex: 2,468
Guerrero: 1,169
Tlaxcala: 34</t>
        </r>
      </text>
    </comment>
    <comment ref="L205" authorId="0" shapeId="0" xr:uid="{00000000-0006-0000-0000-0000EC000000}">
      <text>
        <r>
          <rPr>
            <sz val="10"/>
            <color rgb="FF000000"/>
            <rFont val="Arial"/>
          </rPr>
          <t xml:space="preserve">6576 in CDMX
5744 in Puebla
3242 EdoMex
1838 Morelos
1597 Guerrero
-952 Xochimilco
</t>
        </r>
      </text>
    </comment>
    <comment ref="K206" authorId="0" shapeId="0" xr:uid="{00000000-0006-0000-0000-0000EE000000}">
      <text>
        <r>
          <rPr>
            <sz val="10"/>
            <color rgb="FF000000"/>
            <rFont val="Arial"/>
          </rPr>
          <t>1 in Veracruz
2 in Tehuantepec, Oaxaca</t>
        </r>
      </text>
    </comment>
    <comment ref="A208" authorId="0" shapeId="0" xr:uid="{00000000-0006-0000-0000-0000F1000000}">
      <text>
        <r>
          <rPr>
            <sz val="10"/>
            <color rgb="FF000000"/>
            <rFont val="Arial"/>
          </rPr>
          <t xml:space="preserve">26.09. - 29.09.
</t>
        </r>
      </text>
    </comment>
    <comment ref="I237" authorId="0" shapeId="0" xr:uid="{00000000-0006-0000-0000-000008010000}">
      <text>
        <r>
          <rPr>
            <sz val="10"/>
            <color rgb="FF000000"/>
            <rFont val="Arial"/>
          </rPr>
          <t>Iran: 200000
Iraq: 640000</t>
        </r>
      </text>
    </comment>
    <comment ref="H240" authorId="0" shapeId="0" xr:uid="{00000000-0006-0000-0000-00000B010000}">
      <text>
        <r>
          <rPr>
            <sz val="10"/>
            <color rgb="FF000000"/>
            <rFont val="Arial"/>
          </rPr>
          <t xml:space="preserve">AZ: 1
Iran: 6
</t>
        </r>
      </text>
    </comment>
    <comment ref="K240" authorId="0" shapeId="0" xr:uid="{00000000-0006-0000-0000-00000C010000}">
      <text>
        <r>
          <rPr>
            <sz val="10"/>
            <color rgb="FF000000"/>
            <rFont val="Arial"/>
          </rPr>
          <t xml:space="preserve">AZ: 250
</t>
        </r>
      </text>
    </comment>
    <comment ref="L240" authorId="0" shapeId="0" xr:uid="{00000000-0006-0000-0000-00000D010000}">
      <text>
        <r>
          <rPr>
            <sz val="10"/>
            <color rgb="FF000000"/>
            <rFont val="Arial"/>
          </rPr>
          <t xml:space="preserve">AZ:3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M56" authorId="0" shapeId="0" xr:uid="{8F967EE2-219E-4445-A310-185FAA9A06CE}">
      <text>
        <r>
          <rPr>
            <sz val="10"/>
            <color rgb="FF000000"/>
            <rFont val="Arial"/>
          </rPr>
          <t xml:space="preserve">1,088 - Guerrero
Oaxaca:
13,316 homes
300 business
466 schools
</t>
        </r>
      </text>
    </comment>
    <comment ref="N56" authorId="0" shapeId="0" xr:uid="{63D16DF8-2BA2-4E07-88AA-4FE53D261E3D}">
      <text>
        <r>
          <rPr>
            <sz val="10"/>
            <color rgb="FF000000"/>
            <rFont val="Arial"/>
          </rPr>
          <t>Oaxaca:
2895 homes
25 Schools</t>
        </r>
      </text>
    </comment>
    <comment ref="I191" authorId="0" shapeId="0" xr:uid="{CAA9FFB3-6527-4964-B0EE-EC1110FC6252}">
      <text>
        <r>
          <rPr>
            <sz val="10"/>
            <color rgb="FF000000"/>
            <rFont val="Arial"/>
          </rPr>
          <t>https://twitter.com/Sutopo_PN/status/1032760799775715328</t>
        </r>
      </text>
    </comment>
    <comment ref="J191" authorId="0" shapeId="0" xr:uid="{1784A9AF-957D-41D9-A798-13A8651F3C44}">
      <text>
        <r>
          <rPr>
            <sz val="10"/>
            <color rgb="FF000000"/>
            <rFont val="Arial"/>
          </rPr>
          <t xml:space="preserve">Initial reports of over 13000 injuries given by Sutopo https://twitter.com/Sutopo_PN/status/1028179608653287426
</t>
        </r>
      </text>
    </comment>
    <comment ref="K206" authorId="0" shapeId="0" xr:uid="{BDDCD498-2BEC-44E7-971D-23F40C57A18B}">
      <text>
        <r>
          <rPr>
            <sz val="10"/>
            <color rgb="FF000000"/>
            <rFont val="Arial"/>
          </rPr>
          <t>https://twitter.com/Sutopo_PN/status/1031866595918864386</t>
        </r>
      </text>
    </comment>
    <comment ref="J210" authorId="0" shapeId="0" xr:uid="{08B0674F-2FBD-41DE-AC5C-B0A7A5563FF0}">
      <text>
        <r>
          <rPr>
            <sz val="10"/>
            <color rgb="FF000000"/>
            <rFont val="Arial"/>
          </rPr>
          <t>https://newsday.co.tt/2018/08/22/tremortised/</t>
        </r>
      </text>
    </comment>
    <comment ref="H229" authorId="0" shapeId="0" xr:uid="{8C176AAB-2836-41E7-BFBD-0971F39B2C98}">
      <text>
        <r>
          <rPr>
            <sz val="10"/>
            <color rgb="FF000000"/>
            <rFont val="Arial"/>
          </rPr>
          <t xml:space="preserve">http://www.jma.go.jp/jma/press/1809/06g/201809061530.html
</t>
        </r>
      </text>
    </comment>
    <comment ref="H232" authorId="0" shapeId="0" xr:uid="{3B5D4CE2-73FA-488D-9117-4258845FD0CC}">
      <text>
        <r>
          <rPr>
            <sz val="10"/>
            <color rgb="FF000000"/>
            <rFont val="Arial"/>
          </rPr>
          <t>https://www.hndnews.com/p/226401.html</t>
        </r>
      </text>
    </comment>
    <comment ref="K232" authorId="0" shapeId="0" xr:uid="{A434C5C7-0C8B-41DB-B5AC-F6C37B75403F}">
      <text>
        <r>
          <rPr>
            <sz val="10"/>
            <color rgb="FF000000"/>
            <rFont val="Arial"/>
          </rPr>
          <t>http://www.sohu.com/a/253641463_362042</t>
        </r>
      </text>
    </comment>
    <comment ref="I245" authorId="0" shapeId="0" xr:uid="{4DD79951-B576-42C0-BFF1-D44D678B7CB1}">
      <text>
        <r>
          <rPr>
            <sz val="10"/>
            <color rgb="FF000000"/>
            <rFont val="Arial"/>
          </rPr>
          <t xml:space="preserve">Official death Toll:
2141 Palu City
289 Sigi Regency
212 Donggala Regency
15 Parigi Muotong Regency
1016 unidentified
667 others missing
as of Jan 30 2019
</t>
        </r>
      </text>
    </comment>
    <comment ref="K245" authorId="0" shapeId="0" xr:uid="{B9CDF11B-00E4-4C49-AEA2-14B451C81457}">
      <text>
        <r>
          <rPr>
            <sz val="10"/>
            <color rgb="FF000000"/>
            <rFont val="Arial"/>
          </rPr>
          <t xml:space="preserve">
</t>
        </r>
      </text>
    </comment>
    <comment ref="K309" authorId="0" shapeId="0" xr:uid="{DE2B0AE4-4951-4E97-9360-3811205D0EC1}">
      <text>
        <r>
          <rPr>
            <sz val="10"/>
            <color rgb="FF000000"/>
            <rFont val="Arial"/>
          </rPr>
          <t>https://www.radionz.co.nz/international/pacific-news/380518/hundreds-relocated-as-volcano-erupts-on-vanuatu-s-ambrym</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M8" authorId="0" shapeId="0" xr:uid="{53168B24-75A9-4BBB-A0FE-980217339BBC}">
      <text>
        <r>
          <rPr>
            <sz val="10"/>
            <color rgb="FF000000"/>
            <rFont val="Arial"/>
          </rPr>
          <t xml:space="preserve">19 families
</t>
        </r>
      </text>
    </comment>
    <comment ref="O63" authorId="0" shapeId="0" xr:uid="{F5F6C99B-6982-4B10-8E74-E92B2C919F05}">
      <text>
        <r>
          <rPr>
            <sz val="10"/>
            <color rgb="FF000000"/>
            <rFont val="Arial"/>
          </rPr>
          <t>https://twitter.com/falavi2005/status/1098906687564640256</t>
        </r>
      </text>
    </comment>
    <comment ref="K263" authorId="0" shapeId="0" xr:uid="{F5A100CE-3BE9-4FE1-B349-BCEC84B39F83}">
      <text>
        <r>
          <rPr>
            <sz val="10"/>
            <color rgb="FF000000"/>
            <rFont val="Arial"/>
          </rPr>
          <t xml:space="preserve">Includes 9 fatalities (incl two missing people) from Oct31 quake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K31" authorId="0" shapeId="0" xr:uid="{B823F85A-1204-4CDC-8E57-A1F0CCF5A7BB}">
      <text>
        <r>
          <rPr>
            <sz val="10"/>
            <color rgb="FF000000"/>
            <rFont val="Arial"/>
          </rPr>
          <t xml:space="preserve">Elazig 18
Malatya 4
(Kahramanmaras 1?)
twitter.com/smailBOZDAN8/status/1220820466639740929
</t>
        </r>
      </text>
    </comment>
    <comment ref="L31" authorId="0" shapeId="0" xr:uid="{416DA857-EFCA-4CFC-9042-45C459277924}">
      <text>
        <r>
          <rPr>
            <sz val="10"/>
            <color rgb="FF000000"/>
            <rFont val="Arial"/>
          </rPr>
          <t>Elazig 560
Malatya 226
Kahramanmaras 37
Sanliurfa 34
Diyarbakir 34 
Adiyaman 25
Batman 1</t>
        </r>
      </text>
    </comment>
  </commentList>
</comments>
</file>

<file path=xl/sharedStrings.xml><?xml version="1.0" encoding="utf-8"?>
<sst xmlns="http://schemas.openxmlformats.org/spreadsheetml/2006/main" count="11762" uniqueCount="2089">
  <si>
    <t>Date (UTC)</t>
  </si>
  <si>
    <t>Epicenter</t>
  </si>
  <si>
    <t>Region (Epicenter)</t>
  </si>
  <si>
    <t>Type</t>
  </si>
  <si>
    <t>Origin</t>
  </si>
  <si>
    <t>Depth (km)</t>
  </si>
  <si>
    <t>Intensity (MMI / JMA)</t>
  </si>
  <si>
    <t>Lat</t>
  </si>
  <si>
    <t>Long</t>
  </si>
  <si>
    <t>Fatalities</t>
  </si>
  <si>
    <t>Injuries</t>
  </si>
  <si>
    <t>displaced</t>
  </si>
  <si>
    <t>Impact value (D)</t>
  </si>
  <si>
    <t>buildings damaged</t>
  </si>
  <si>
    <t>buildings destroyed</t>
  </si>
  <si>
    <t>Tsunami height</t>
  </si>
  <si>
    <t>Total number of fatalities:</t>
  </si>
  <si>
    <t>Iran</t>
  </si>
  <si>
    <t>Ravazi-Chorasan</t>
  </si>
  <si>
    <t>earthquake</t>
  </si>
  <si>
    <t>tectonic</t>
  </si>
  <si>
    <t>34.03</t>
  </si>
  <si>
    <t>60.37</t>
  </si>
  <si>
    <t>--</t>
  </si>
  <si>
    <t>India</t>
  </si>
  <si>
    <t>Gujarat</t>
  </si>
  <si>
    <t>22.40</t>
  </si>
  <si>
    <t>69.95</t>
  </si>
  <si>
    <t>Total number of injuries:</t>
  </si>
  <si>
    <t>Ecuador</t>
  </si>
  <si>
    <t>El Oro</t>
  </si>
  <si>
    <t>-3.29</t>
  </si>
  <si>
    <t>-80.14</t>
  </si>
  <si>
    <t>Mexico</t>
  </si>
  <si>
    <t>Oaxaca</t>
  </si>
  <si>
    <t>VI</t>
  </si>
  <si>
    <t>16.42</t>
  </si>
  <si>
    <t>-94.35</t>
  </si>
  <si>
    <t>Total number of displaced people:</t>
  </si>
  <si>
    <t>USA</t>
  </si>
  <si>
    <t>Puerto Rico</t>
  </si>
  <si>
    <t>EQ sequence</t>
  </si>
  <si>
    <t>17.87</t>
  </si>
  <si>
    <t>-66.82</t>
  </si>
  <si>
    <t>Indonesia</t>
  </si>
  <si>
    <t>Simeulue</t>
  </si>
  <si>
    <t>96.35</t>
  </si>
  <si>
    <t>2.40</t>
  </si>
  <si>
    <t>Total number of damaged houses</t>
  </si>
  <si>
    <t>VII - VIII</t>
  </si>
  <si>
    <t>17.95</t>
  </si>
  <si>
    <t>-66.74</t>
  </si>
  <si>
    <t>17 cm</t>
  </si>
  <si>
    <t>Bushehr</t>
  </si>
  <si>
    <t>29.19</t>
  </si>
  <si>
    <t>51.31</t>
  </si>
  <si>
    <t>Total number of destroyed houses</t>
  </si>
  <si>
    <t>Jawa Barat</t>
  </si>
  <si>
    <t>-8.05</t>
  </si>
  <si>
    <t>107.91</t>
  </si>
  <si>
    <t>-66.84</t>
  </si>
  <si>
    <t>13.01.2020</t>
  </si>
  <si>
    <t>Philippines</t>
  </si>
  <si>
    <t>Calabarzon</t>
  </si>
  <si>
    <t>volcanic (Taal eruption)</t>
  </si>
  <si>
    <t>13.96</t>
  </si>
  <si>
    <t>120.99</t>
  </si>
  <si>
    <t>Poland</t>
  </si>
  <si>
    <t>Silesia</t>
  </si>
  <si>
    <t>mining</t>
  </si>
  <si>
    <t>50.20</t>
  </si>
  <si>
    <t>18.75</t>
  </si>
  <si>
    <t>Peru</t>
  </si>
  <si>
    <t>Ancash</t>
  </si>
  <si>
    <t>-10.39</t>
  </si>
  <si>
    <t>-78.83</t>
  </si>
  <si>
    <t>Argentina</t>
  </si>
  <si>
    <t>Mendoza</t>
  </si>
  <si>
    <t>5.0</t>
  </si>
  <si>
    <t>-32.96</t>
  </si>
  <si>
    <t>-68.60</t>
  </si>
  <si>
    <t>17.91</t>
  </si>
  <si>
    <t>-67.02</t>
  </si>
  <si>
    <t>China</t>
  </si>
  <si>
    <t>Xinjiang</t>
  </si>
  <si>
    <t>41.21</t>
  </si>
  <si>
    <t>83.6</t>
  </si>
  <si>
    <t>16.66</t>
  </si>
  <si>
    <t>-94.95</t>
  </si>
  <si>
    <t>39.83</t>
  </si>
  <si>
    <t>77.18</t>
  </si>
  <si>
    <t>77.21</t>
  </si>
  <si>
    <t>Sulawesi Utara</t>
  </si>
  <si>
    <t>-0.2</t>
  </si>
  <si>
    <t>123.9</t>
  </si>
  <si>
    <t>Kansas</t>
  </si>
  <si>
    <t>waste water injection</t>
  </si>
  <si>
    <t>38.01</t>
  </si>
  <si>
    <t>-97.97</t>
  </si>
  <si>
    <t>Tennessee</t>
  </si>
  <si>
    <t>36.41</t>
  </si>
  <si>
    <t>-84.03</t>
  </si>
  <si>
    <t>2.23</t>
  </si>
  <si>
    <t>96.11</t>
  </si>
  <si>
    <t>All given data may be preliminary</t>
  </si>
  <si>
    <t>Turkey</t>
  </si>
  <si>
    <t>Manisa</t>
  </si>
  <si>
    <t>EQ Sequence</t>
  </si>
  <si>
    <t>39.06</t>
  </si>
  <si>
    <t xml:space="preserve">27.84 </t>
  </si>
  <si>
    <t>Hormozgan</t>
  </si>
  <si>
    <t>56.87</t>
  </si>
  <si>
    <t>Ankara</t>
  </si>
  <si>
    <t>40.11</t>
  </si>
  <si>
    <t>33.25</t>
  </si>
  <si>
    <t>Moquegua</t>
  </si>
  <si>
    <t>-17.46</t>
  </si>
  <si>
    <t>-70.89</t>
  </si>
  <si>
    <t>Algeria</t>
  </si>
  <si>
    <t>Jijel</t>
  </si>
  <si>
    <t>36.76</t>
  </si>
  <si>
    <t>5.61</t>
  </si>
  <si>
    <t>Elazig</t>
  </si>
  <si>
    <t>VII</t>
  </si>
  <si>
    <t>39.2</t>
  </si>
  <si>
    <t>38.36</t>
  </si>
  <si>
    <t>Andhra Pradesh</t>
  </si>
  <si>
    <t>16.67</t>
  </si>
  <si>
    <t>80.02</t>
  </si>
  <si>
    <t>Fars</t>
  </si>
  <si>
    <t>29.59</t>
  </si>
  <si>
    <t>52.09</t>
  </si>
  <si>
    <t>Croatia</t>
  </si>
  <si>
    <t>Krapinsko-Zagorska</t>
  </si>
  <si>
    <t>V</t>
  </si>
  <si>
    <t>45.97</t>
  </si>
  <si>
    <t>39.1</t>
  </si>
  <si>
    <t>27.84</t>
  </si>
  <si>
    <t>Caribbean Sea</t>
  </si>
  <si>
    <t>Cayman Islands</t>
  </si>
  <si>
    <t>19.37</t>
  </si>
  <si>
    <t>-78.74</t>
  </si>
  <si>
    <t>Cuba</t>
  </si>
  <si>
    <t>United Kingdom</t>
  </si>
  <si>
    <t>11 cm</t>
  </si>
  <si>
    <t>West Azerbaijan</t>
  </si>
  <si>
    <t>37.26</t>
  </si>
  <si>
    <t>45.09</t>
  </si>
  <si>
    <t>Guerrero</t>
  </si>
  <si>
    <t>-99.95</t>
  </si>
  <si>
    <t>Sichuan</t>
  </si>
  <si>
    <t>30.75</t>
  </si>
  <si>
    <t>104.58</t>
  </si>
  <si>
    <t>17.84</t>
  </si>
  <si>
    <t>-66.88</t>
  </si>
  <si>
    <t>38.97</t>
  </si>
  <si>
    <t>Greece</t>
  </si>
  <si>
    <t>Central Greece</t>
  </si>
  <si>
    <t>39.18</t>
  </si>
  <si>
    <t>21.44</t>
  </si>
  <si>
    <t>Uttarakhand</t>
  </si>
  <si>
    <t>80.06</t>
  </si>
  <si>
    <t>Maluku</t>
  </si>
  <si>
    <t>-2.82</t>
  </si>
  <si>
    <t>129.87</t>
  </si>
  <si>
    <t>Honduras</t>
  </si>
  <si>
    <t>Comayagua</t>
  </si>
  <si>
    <t>14.64</t>
  </si>
  <si>
    <t>-87.44</t>
  </si>
  <si>
    <t>Gilan</t>
  </si>
  <si>
    <t>37.09</t>
  </si>
  <si>
    <t>49.61</t>
  </si>
  <si>
    <t>Russia</t>
  </si>
  <si>
    <t>Oblast Sachalin</t>
  </si>
  <si>
    <t>45.63</t>
  </si>
  <si>
    <t>148.92</t>
  </si>
  <si>
    <t>West Nusa Tenggara</t>
  </si>
  <si>
    <t>-8.29</t>
  </si>
  <si>
    <t>115.99</t>
  </si>
  <si>
    <t>Ardabil</t>
  </si>
  <si>
    <t>38.10</t>
  </si>
  <si>
    <t>48.12</t>
  </si>
  <si>
    <t>26.93</t>
  </si>
  <si>
    <t>55.88</t>
  </si>
  <si>
    <t>38.44</t>
  </si>
  <si>
    <t>44.52</t>
  </si>
  <si>
    <t>Shandong</t>
  </si>
  <si>
    <t>36.47</t>
  </si>
  <si>
    <t>116.64</t>
  </si>
  <si>
    <t>39.11</t>
  </si>
  <si>
    <t>27.82</t>
  </si>
  <si>
    <t>Karnataka</t>
  </si>
  <si>
    <t>unknown</t>
  </si>
  <si>
    <t>75.5</t>
  </si>
  <si>
    <t>Konya</t>
  </si>
  <si>
    <t>37.39</t>
  </si>
  <si>
    <t>31.48</t>
  </si>
  <si>
    <t>38.52</t>
  </si>
  <si>
    <t>44.59</t>
  </si>
  <si>
    <t>Italy</t>
  </si>
  <si>
    <t>Calabria</t>
  </si>
  <si>
    <t>39.33</t>
  </si>
  <si>
    <t>16.21</t>
  </si>
  <si>
    <t>La Libertad</t>
  </si>
  <si>
    <t>-8.06</t>
  </si>
  <si>
    <t>-79.95</t>
  </si>
  <si>
    <t>aftershock</t>
  </si>
  <si>
    <t>26.77</t>
  </si>
  <si>
    <t>55.82</t>
  </si>
  <si>
    <t>Malatya</t>
  </si>
  <si>
    <t>38.33</t>
  </si>
  <si>
    <t>38.77</t>
  </si>
  <si>
    <t>Kerala</t>
  </si>
  <si>
    <t>reservoir induced</t>
  </si>
  <si>
    <t>9.79</t>
  </si>
  <si>
    <t>76.88</t>
  </si>
  <si>
    <t>Pakistan</t>
  </si>
  <si>
    <t>Khyber Pakhtunkwar</t>
  </si>
  <si>
    <t>35.26</t>
  </si>
  <si>
    <t>71.79</t>
  </si>
  <si>
    <t>Western Visayas</t>
  </si>
  <si>
    <t>11.33</t>
  </si>
  <si>
    <t>124.54</t>
  </si>
  <si>
    <t>Arequipa</t>
  </si>
  <si>
    <t>-16.55</t>
  </si>
  <si>
    <t>-73.5</t>
  </si>
  <si>
    <t>Myanmar</t>
  </si>
  <si>
    <t>Sagaing</t>
  </si>
  <si>
    <t>24.44</t>
  </si>
  <si>
    <t>96.16</t>
  </si>
  <si>
    <t>La Rioja</t>
  </si>
  <si>
    <t>-28.41</t>
  </si>
  <si>
    <t>-67.50</t>
  </si>
  <si>
    <t>32.62</t>
  </si>
  <si>
    <t>105.39</t>
  </si>
  <si>
    <t>Canada</t>
  </si>
  <si>
    <t>Quebec</t>
  </si>
  <si>
    <t>45.62</t>
  </si>
  <si>
    <t>-73.51</t>
  </si>
  <si>
    <t>38.58</t>
  </si>
  <si>
    <t>44.58</t>
  </si>
  <si>
    <t>Costa Rica</t>
  </si>
  <si>
    <t>Puntarenas</t>
  </si>
  <si>
    <t>-83.15</t>
  </si>
  <si>
    <t>Portugal</t>
  </si>
  <si>
    <t>Madeira</t>
  </si>
  <si>
    <t>32.32</t>
  </si>
  <si>
    <t>-16.86</t>
  </si>
  <si>
    <t>Chuzestan</t>
  </si>
  <si>
    <t>32.24</t>
  </si>
  <si>
    <t>48.80</t>
  </si>
  <si>
    <t>Xizang</t>
  </si>
  <si>
    <t>32.84</t>
  </si>
  <si>
    <t>85.52</t>
  </si>
  <si>
    <t>-6.81</t>
  </si>
  <si>
    <t>106.66</t>
  </si>
  <si>
    <t>-6.73</t>
  </si>
  <si>
    <t>107.35</t>
  </si>
  <si>
    <t>Japan</t>
  </si>
  <si>
    <t>Ishikawa</t>
  </si>
  <si>
    <t>37.27</t>
  </si>
  <si>
    <t>136.86</t>
  </si>
  <si>
    <t>Tanzania</t>
  </si>
  <si>
    <t>Tanga</t>
  </si>
  <si>
    <t>-4.90</t>
  </si>
  <si>
    <t>38.55</t>
  </si>
  <si>
    <t>Qom</t>
  </si>
  <si>
    <t>34.56</t>
  </si>
  <si>
    <t>50.72</t>
  </si>
  <si>
    <t>27.20</t>
  </si>
  <si>
    <t>55.32</t>
  </si>
  <si>
    <t>Rajasthan</t>
  </si>
  <si>
    <t>75.3</t>
  </si>
  <si>
    <t>Utah</t>
  </si>
  <si>
    <t>40.75</t>
  </si>
  <si>
    <t>-112.08</t>
  </si>
  <si>
    <t>Country (Epicenter)</t>
  </si>
  <si>
    <t>Abruzzo</t>
  </si>
  <si>
    <t>4.1</t>
  </si>
  <si>
    <t>41.88</t>
  </si>
  <si>
    <t>13.55</t>
  </si>
  <si>
    <t>Veracruz</t>
  </si>
  <si>
    <t>4.2</t>
  </si>
  <si>
    <t>19.41</t>
  </si>
  <si>
    <t>-97.05</t>
  </si>
  <si>
    <t>5.3</t>
  </si>
  <si>
    <t>28.20</t>
  </si>
  <si>
    <t>104.86</t>
  </si>
  <si>
    <t>Kumamoto</t>
  </si>
  <si>
    <t>6-</t>
  </si>
  <si>
    <t>32.97</t>
  </si>
  <si>
    <t>130.47</t>
  </si>
  <si>
    <t>Albania</t>
  </si>
  <si>
    <t>Vlore</t>
  </si>
  <si>
    <t>4.8</t>
  </si>
  <si>
    <t>40.05</t>
  </si>
  <si>
    <t>19.88</t>
  </si>
  <si>
    <t>4.3</t>
  </si>
  <si>
    <t>19.39</t>
  </si>
  <si>
    <t>-97.07</t>
  </si>
  <si>
    <t>Puno</t>
  </si>
  <si>
    <t>-15.22</t>
  </si>
  <si>
    <t>-70.83</t>
  </si>
  <si>
    <t>Kermanshah</t>
  </si>
  <si>
    <t>5.5</t>
  </si>
  <si>
    <t>34.12</t>
  </si>
  <si>
    <t>45.68</t>
  </si>
  <si>
    <t>Molucca</t>
  </si>
  <si>
    <t>6.5</t>
  </si>
  <si>
    <t>2.30</t>
  </si>
  <si>
    <t>126.77</t>
  </si>
  <si>
    <t>2cm</t>
  </si>
  <si>
    <t>5.1</t>
  </si>
  <si>
    <t>-7.81</t>
  </si>
  <si>
    <t xml:space="preserve">106.59 </t>
  </si>
  <si>
    <t>Loreto</t>
  </si>
  <si>
    <t>-4.64</t>
  </si>
  <si>
    <t>Brazil</t>
  </si>
  <si>
    <t>Sergipe</t>
  </si>
  <si>
    <t>2.7</t>
  </si>
  <si>
    <t>-10.72</t>
  </si>
  <si>
    <t>-37.25</t>
  </si>
  <si>
    <t>Neuquen</t>
  </si>
  <si>
    <t>Yunnan</t>
  </si>
  <si>
    <t>21.26</t>
  </si>
  <si>
    <t>101.71</t>
  </si>
  <si>
    <t>3.0</t>
  </si>
  <si>
    <t>13.88</t>
  </si>
  <si>
    <t>74.64</t>
  </si>
  <si>
    <t>Lower Silesia</t>
  </si>
  <si>
    <t>3.9</t>
  </si>
  <si>
    <t>Rockburst</t>
  </si>
  <si>
    <t>0.9</t>
  </si>
  <si>
    <t>51.52</t>
  </si>
  <si>
    <t>Laos</t>
  </si>
  <si>
    <t>Luang Namtha</t>
  </si>
  <si>
    <t>4.9</t>
  </si>
  <si>
    <t>21.20</t>
  </si>
  <si>
    <t>101.80</t>
  </si>
  <si>
    <t>Emilia Romagna</t>
  </si>
  <si>
    <t>4.6</t>
  </si>
  <si>
    <t>44.37</t>
  </si>
  <si>
    <t>12.32</t>
  </si>
  <si>
    <t>Sumatra Utara</t>
  </si>
  <si>
    <t>1.80</t>
  </si>
  <si>
    <t>99.12</t>
  </si>
  <si>
    <t>Venezuela</t>
  </si>
  <si>
    <t>Sucre</t>
  </si>
  <si>
    <t>EQ swarm</t>
  </si>
  <si>
    <t>10.59</t>
  </si>
  <si>
    <t>Tunisia</t>
  </si>
  <si>
    <t>Jendouba</t>
  </si>
  <si>
    <t>36.31</t>
  </si>
  <si>
    <t>8.24</t>
  </si>
  <si>
    <t>-9.18</t>
  </si>
  <si>
    <t>-79.48</t>
  </si>
  <si>
    <t>Balochistan</t>
  </si>
  <si>
    <t>28.47</t>
  </si>
  <si>
    <t>65.44</t>
  </si>
  <si>
    <t>Chile</t>
  </si>
  <si>
    <t>Coquimbo</t>
  </si>
  <si>
    <t>6.7</t>
  </si>
  <si>
    <t>Earthquake</t>
  </si>
  <si>
    <t>VIII</t>
  </si>
  <si>
    <t>5.8</t>
  </si>
  <si>
    <t xml:space="preserve">VI </t>
  </si>
  <si>
    <t>Nusa Tenggara Timur</t>
  </si>
  <si>
    <t>6.4</t>
  </si>
  <si>
    <t>3.4</t>
  </si>
  <si>
    <t>50.06</t>
  </si>
  <si>
    <t>18.42</t>
  </si>
  <si>
    <t>South Aegean</t>
  </si>
  <si>
    <t>35.9253</t>
  </si>
  <si>
    <t>28.2202</t>
  </si>
  <si>
    <t>Ica</t>
  </si>
  <si>
    <t>5.6</t>
  </si>
  <si>
    <t>-14.52</t>
  </si>
  <si>
    <t>-75.38</t>
  </si>
  <si>
    <t>Colombia</t>
  </si>
  <si>
    <t>Tolima</t>
  </si>
  <si>
    <t>volcano-tectonic</t>
  </si>
  <si>
    <t>2.99</t>
  </si>
  <si>
    <t>-75.77</t>
  </si>
  <si>
    <t>Maluku Tenggara</t>
  </si>
  <si>
    <t>-5.55</t>
  </si>
  <si>
    <t>133.82</t>
  </si>
  <si>
    <t>Bahia</t>
  </si>
  <si>
    <t>2.5</t>
  </si>
  <si>
    <t>-16.63</t>
  </si>
  <si>
    <t>-39.77</t>
  </si>
  <si>
    <t xml:space="preserve">Tolima </t>
  </si>
  <si>
    <t>5.2</t>
  </si>
  <si>
    <t>Aftershock</t>
  </si>
  <si>
    <t>-75.69</t>
  </si>
  <si>
    <t>16.54</t>
  </si>
  <si>
    <t>-95.22</t>
  </si>
  <si>
    <t>51.56</t>
  </si>
  <si>
    <t>Maharashtra</t>
  </si>
  <si>
    <t>72.8</t>
  </si>
  <si>
    <t>Chiapas</t>
  </si>
  <si>
    <t>6.6</t>
  </si>
  <si>
    <t>14.76</t>
  </si>
  <si>
    <t>-92.3</t>
  </si>
  <si>
    <t>Guatemala</t>
  </si>
  <si>
    <t>El Salvador</t>
  </si>
  <si>
    <t>46.82</t>
  </si>
  <si>
    <t>83.43</t>
  </si>
  <si>
    <t>Mentawai</t>
  </si>
  <si>
    <t>6.1</t>
  </si>
  <si>
    <t>-2.72</t>
  </si>
  <si>
    <t>100.17</t>
  </si>
  <si>
    <t>2.2</t>
  </si>
  <si>
    <t>reservoir</t>
  </si>
  <si>
    <t>75.08</t>
  </si>
  <si>
    <t>Dominican Republic</t>
  </si>
  <si>
    <t>Altagracia</t>
  </si>
  <si>
    <t>Guayas</t>
  </si>
  <si>
    <t>Ionian Islands</t>
  </si>
  <si>
    <t>Kashmir</t>
  </si>
  <si>
    <t>Azerbaijan</t>
  </si>
  <si>
    <t>Shamakhi</t>
  </si>
  <si>
    <t>40.78</t>
  </si>
  <si>
    <t>48.46</t>
  </si>
  <si>
    <t>Maluku Utara</t>
  </si>
  <si>
    <t>5.4</t>
  </si>
  <si>
    <t>Khuzestan</t>
  </si>
  <si>
    <t>31.73</t>
  </si>
  <si>
    <t>49.58</t>
  </si>
  <si>
    <t>4.4</t>
  </si>
  <si>
    <t>22.85</t>
  </si>
  <si>
    <t>101.40</t>
  </si>
  <si>
    <t>Carikiri</t>
  </si>
  <si>
    <t>40.57</t>
  </si>
  <si>
    <t>33.01</t>
  </si>
  <si>
    <t>Carchi</t>
  </si>
  <si>
    <t>0.65</t>
  </si>
  <si>
    <t>-77.78</t>
  </si>
  <si>
    <t>Junin</t>
  </si>
  <si>
    <t>-74.33</t>
  </si>
  <si>
    <t>Choco</t>
  </si>
  <si>
    <t>5.71</t>
  </si>
  <si>
    <t>-76.14</t>
  </si>
  <si>
    <t>3.8</t>
  </si>
  <si>
    <t>40.47</t>
  </si>
  <si>
    <t>-111.94</t>
  </si>
  <si>
    <t>Thailand</t>
  </si>
  <si>
    <t>Lampang</t>
  </si>
  <si>
    <t>19.26</t>
  </si>
  <si>
    <t>99.61</t>
  </si>
  <si>
    <t>Cannakale</t>
  </si>
  <si>
    <t>5</t>
  </si>
  <si>
    <t>39.6</t>
  </si>
  <si>
    <t>26.42</t>
  </si>
  <si>
    <t>Hokkaido</t>
  </si>
  <si>
    <t>JMA 6-</t>
  </si>
  <si>
    <t>42.81</t>
  </si>
  <si>
    <t>141.95</t>
  </si>
  <si>
    <t>Pastaza</t>
  </si>
  <si>
    <t>7.5</t>
  </si>
  <si>
    <t>-2.20</t>
  </si>
  <si>
    <t>-77.02</t>
  </si>
  <si>
    <t>tectonic (triggered)</t>
  </si>
  <si>
    <t>-2.30</t>
  </si>
  <si>
    <t>-79.73</t>
  </si>
  <si>
    <t>4.7</t>
  </si>
  <si>
    <t>Hydraulic Fracturing</t>
  </si>
  <si>
    <t>29.47</t>
  </si>
  <si>
    <t>104.49</t>
  </si>
  <si>
    <t>29.48</t>
  </si>
  <si>
    <t>England</t>
  </si>
  <si>
    <t>3.1</t>
  </si>
  <si>
    <t>-0.246</t>
  </si>
  <si>
    <t>Ilam</t>
  </si>
  <si>
    <t>32.90</t>
  </si>
  <si>
    <t>47.47</t>
  </si>
  <si>
    <t>Sumatra Barat</t>
  </si>
  <si>
    <t>-1.40</t>
  </si>
  <si>
    <t>101.55</t>
  </si>
  <si>
    <t>EQ Swarm</t>
  </si>
  <si>
    <t>7.0</t>
  </si>
  <si>
    <t>Magdalena</t>
  </si>
  <si>
    <t>10.96</t>
  </si>
  <si>
    <t>-74.75</t>
  </si>
  <si>
    <t>induced</t>
  </si>
  <si>
    <t>Hungary</t>
  </si>
  <si>
    <t>Somogy</t>
  </si>
  <si>
    <t>4.0</t>
  </si>
  <si>
    <t>46.29</t>
  </si>
  <si>
    <t>17.31</t>
  </si>
  <si>
    <t>23.98</t>
  </si>
  <si>
    <t>99.39</t>
  </si>
  <si>
    <t>17.93</t>
  </si>
  <si>
    <t>-66.18</t>
  </si>
  <si>
    <t>19.24</t>
  </si>
  <si>
    <t>99.63</t>
  </si>
  <si>
    <t>Huancavelica</t>
  </si>
  <si>
    <t>-12.52</t>
  </si>
  <si>
    <t>-74.96</t>
  </si>
  <si>
    <t>27.49</t>
  </si>
  <si>
    <t>76.87</t>
  </si>
  <si>
    <t>29.70</t>
  </si>
  <si>
    <t>67.53</t>
  </si>
  <si>
    <t>Nusa Tenggara Barat</t>
  </si>
  <si>
    <t>-8.30</t>
  </si>
  <si>
    <t>116.60</t>
  </si>
  <si>
    <t>Sumatera Selatan</t>
  </si>
  <si>
    <t>-0.33</t>
  </si>
  <si>
    <t>100.36</t>
  </si>
  <si>
    <t>Denizli</t>
  </si>
  <si>
    <t>5.7</t>
  </si>
  <si>
    <t>37.43</t>
  </si>
  <si>
    <t>29.44</t>
  </si>
  <si>
    <t>France</t>
  </si>
  <si>
    <t>Poitou-Charentes</t>
  </si>
  <si>
    <t>45.35</t>
  </si>
  <si>
    <t>-0.35</t>
  </si>
  <si>
    <t>38.79</t>
  </si>
  <si>
    <t>38.15</t>
  </si>
  <si>
    <t>Rukwa</t>
  </si>
  <si>
    <t>-7.09</t>
  </si>
  <si>
    <t>32.06</t>
  </si>
  <si>
    <t>Malawi</t>
  </si>
  <si>
    <t>-7.73</t>
  </si>
  <si>
    <t>107.87</t>
  </si>
  <si>
    <t>Valle del Cauca</t>
  </si>
  <si>
    <t>6.0</t>
  </si>
  <si>
    <t>4.57</t>
  </si>
  <si>
    <t>-76.31</t>
  </si>
  <si>
    <t>Sulawesi Tengah</t>
  </si>
  <si>
    <t>-1.8</t>
  </si>
  <si>
    <t>120.58</t>
  </si>
  <si>
    <t>Kenya</t>
  </si>
  <si>
    <t>Taita</t>
  </si>
  <si>
    <t>-3.1</t>
  </si>
  <si>
    <t>38.25</t>
  </si>
  <si>
    <t>4.5</t>
  </si>
  <si>
    <t>38.74</t>
  </si>
  <si>
    <t>38.14</t>
  </si>
  <si>
    <t>Qinghai</t>
  </si>
  <si>
    <t>38.28</t>
  </si>
  <si>
    <t>90.89</t>
  </si>
  <si>
    <t>Thessalia</t>
  </si>
  <si>
    <t>38.32</t>
  </si>
  <si>
    <t>22.31</t>
  </si>
  <si>
    <t>Santa Elena</t>
  </si>
  <si>
    <t>6.3</t>
  </si>
  <si>
    <t>-1.95</t>
  </si>
  <si>
    <t>-80.87</t>
  </si>
  <si>
    <t>33.69</t>
  </si>
  <si>
    <t>45.73</t>
  </si>
  <si>
    <t>Olancho</t>
  </si>
  <si>
    <t>-86.62</t>
  </si>
  <si>
    <t>Java Timur</t>
  </si>
  <si>
    <t>-7.22</t>
  </si>
  <si>
    <t>114.60</t>
  </si>
  <si>
    <t>38.39</t>
  </si>
  <si>
    <t>39.12</t>
  </si>
  <si>
    <t>-13.85</t>
  </si>
  <si>
    <t>-76.48</t>
  </si>
  <si>
    <t>Sulawesi Selatan</t>
  </si>
  <si>
    <t>6.8</t>
  </si>
  <si>
    <t>-1.81</t>
  </si>
  <si>
    <t>122.59</t>
  </si>
  <si>
    <t>38.76</t>
  </si>
  <si>
    <t>38.13</t>
  </si>
  <si>
    <t>34.49</t>
  </si>
  <si>
    <t>45.72</t>
  </si>
  <si>
    <t>Amazonas</t>
  </si>
  <si>
    <t>-5.02</t>
  </si>
  <si>
    <t>-78.31</t>
  </si>
  <si>
    <t>Taiwan</t>
  </si>
  <si>
    <t>Hualien</t>
  </si>
  <si>
    <t>121.69</t>
  </si>
  <si>
    <t>Jharkhand</t>
  </si>
  <si>
    <t>86.1</t>
  </si>
  <si>
    <t>Central Luzon</t>
  </si>
  <si>
    <t>Samar</t>
  </si>
  <si>
    <t>11.83</t>
  </si>
  <si>
    <t>125.19</t>
  </si>
  <si>
    <t>Arunachal Pradesh</t>
  </si>
  <si>
    <t>5.9</t>
  </si>
  <si>
    <t>30.43</t>
  </si>
  <si>
    <t>103.01</t>
  </si>
  <si>
    <t>Papua New Guinea</t>
  </si>
  <si>
    <t>Morobe</t>
  </si>
  <si>
    <t>7.2</t>
  </si>
  <si>
    <t>-6.95</t>
  </si>
  <si>
    <t>146.46</t>
  </si>
  <si>
    <t>30 cm</t>
  </si>
  <si>
    <t>Miyazaki</t>
  </si>
  <si>
    <t>5-</t>
  </si>
  <si>
    <t>Panama</t>
  </si>
  <si>
    <t>Chiriqui</t>
  </si>
  <si>
    <t>Huancayo</t>
  </si>
  <si>
    <t>-2.19</t>
  </si>
  <si>
    <t>-74.9</t>
  </si>
  <si>
    <t>New Ireland</t>
  </si>
  <si>
    <t>-4.12</t>
  </si>
  <si>
    <t>152.55</t>
  </si>
  <si>
    <t>Israel</t>
  </si>
  <si>
    <t>Offshore</t>
  </si>
  <si>
    <t>32.65</t>
  </si>
  <si>
    <t>32.56</t>
  </si>
  <si>
    <t>103.53</t>
  </si>
  <si>
    <t>Nicaragua</t>
  </si>
  <si>
    <t>Jilin</t>
  </si>
  <si>
    <t>45.3</t>
  </si>
  <si>
    <t>124.75</t>
  </si>
  <si>
    <t>Afghanistan</t>
  </si>
  <si>
    <t>Badakhshan</t>
  </si>
  <si>
    <t>36.35</t>
  </si>
  <si>
    <t>71.18</t>
  </si>
  <si>
    <t>Apulia</t>
  </si>
  <si>
    <t>41.30</t>
  </si>
  <si>
    <t>16.32</t>
  </si>
  <si>
    <t>Netherlands</t>
  </si>
  <si>
    <t>Groningen</t>
  </si>
  <si>
    <t>gas prod.</t>
  </si>
  <si>
    <t>IV - V</t>
  </si>
  <si>
    <t>53.33</t>
  </si>
  <si>
    <t>6.66</t>
  </si>
  <si>
    <t>Dagestan</t>
  </si>
  <si>
    <t>V - VI</t>
  </si>
  <si>
    <t>42.94</t>
  </si>
  <si>
    <t>47.17</t>
  </si>
  <si>
    <t>-8.61</t>
  </si>
  <si>
    <t>-79.76</t>
  </si>
  <si>
    <t>West Bengal</t>
  </si>
  <si>
    <t>23.21</t>
  </si>
  <si>
    <t>86.9</t>
  </si>
  <si>
    <t>8.0</t>
  </si>
  <si>
    <t>Korçë</t>
  </si>
  <si>
    <t>20.71</t>
  </si>
  <si>
    <t>gas prod</t>
  </si>
  <si>
    <t>53.32</t>
  </si>
  <si>
    <t>6 cm</t>
  </si>
  <si>
    <t>New Zealand</t>
  </si>
  <si>
    <t>Kermadec Islands</t>
  </si>
  <si>
    <t>9 cm</t>
  </si>
  <si>
    <t>waste water injection?</t>
  </si>
  <si>
    <t>28.41</t>
  </si>
  <si>
    <t>104.98</t>
  </si>
  <si>
    <t>Yamagata</t>
  </si>
  <si>
    <t>6 +</t>
  </si>
  <si>
    <t>Papua</t>
  </si>
  <si>
    <t>Maine-et-Loire</t>
  </si>
  <si>
    <t>47.15</t>
  </si>
  <si>
    <t>-0.34</t>
  </si>
  <si>
    <t>3.7</t>
  </si>
  <si>
    <t>77.9</t>
  </si>
  <si>
    <t>28.43</t>
  </si>
  <si>
    <t>104.77</t>
  </si>
  <si>
    <t>Spain</t>
  </si>
  <si>
    <t>Murcia</t>
  </si>
  <si>
    <t>37.56</t>
  </si>
  <si>
    <t>-1.66</t>
  </si>
  <si>
    <t>Lazio</t>
  </si>
  <si>
    <t>3.6</t>
  </si>
  <si>
    <t>41.86</t>
  </si>
  <si>
    <t>12.77</t>
  </si>
  <si>
    <t>7.3</t>
  </si>
  <si>
    <t>Australia</t>
  </si>
  <si>
    <t>24.98</t>
  </si>
  <si>
    <t>101.67</t>
  </si>
  <si>
    <t>#24.06.2019</t>
  </si>
  <si>
    <t>#Sudan</t>
  </si>
  <si>
    <t>#Sannar</t>
  </si>
  <si>
    <t>#earthquake</t>
  </si>
  <si>
    <t>#12</t>
  </si>
  <si>
    <t>#250</t>
  </si>
  <si>
    <t>#100</t>
  </si>
  <si>
    <t>Namibia</t>
  </si>
  <si>
    <t>Erongo</t>
  </si>
  <si>
    <t>-21.5</t>
  </si>
  <si>
    <t>2.8</t>
  </si>
  <si>
    <t>mine collapse</t>
  </si>
  <si>
    <t>50.23</t>
  </si>
  <si>
    <t>Quiché</t>
  </si>
  <si>
    <t>eq swarm</t>
  </si>
  <si>
    <t>15.65</t>
  </si>
  <si>
    <t>-90.98</t>
  </si>
  <si>
    <t>104.74</t>
  </si>
  <si>
    <t>California</t>
  </si>
  <si>
    <t>rockburst</t>
  </si>
  <si>
    <t>IV</t>
  </si>
  <si>
    <t>51.54</t>
  </si>
  <si>
    <t>7.1</t>
  </si>
  <si>
    <t>IX</t>
  </si>
  <si>
    <t>Maluku Islands</t>
  </si>
  <si>
    <t>6.9</t>
  </si>
  <si>
    <t>0.523</t>
  </si>
  <si>
    <t>31.72</t>
  </si>
  <si>
    <t>49.45</t>
  </si>
  <si>
    <t>North Cotabato</t>
  </si>
  <si>
    <t>6.83</t>
  </si>
  <si>
    <t>125.02</t>
  </si>
  <si>
    <t>6.84</t>
  </si>
  <si>
    <t>-9.1</t>
  </si>
  <si>
    <t>117.85</t>
  </si>
  <si>
    <t>Surigao del sur</t>
  </si>
  <si>
    <t>9.32</t>
  </si>
  <si>
    <t>126.01</t>
  </si>
  <si>
    <t>78.6</t>
  </si>
  <si>
    <t>Western Australia</t>
  </si>
  <si>
    <t>-0.529</t>
  </si>
  <si>
    <t>20 cm</t>
  </si>
  <si>
    <t>Jawa Timur</t>
  </si>
  <si>
    <t>Aruchanal Pradesh</t>
  </si>
  <si>
    <t>27.71</t>
  </si>
  <si>
    <t>92.77</t>
  </si>
  <si>
    <t>Attika</t>
  </si>
  <si>
    <t>38.12</t>
  </si>
  <si>
    <t>23.52</t>
  </si>
  <si>
    <t>26.16</t>
  </si>
  <si>
    <t>100.62</t>
  </si>
  <si>
    <t>Merida</t>
  </si>
  <si>
    <t>Ceara</t>
  </si>
  <si>
    <t>-5.07</t>
  </si>
  <si>
    <t>-39.51</t>
  </si>
  <si>
    <t>72.9</t>
  </si>
  <si>
    <t>-5.04</t>
  </si>
  <si>
    <t>-39.57</t>
  </si>
  <si>
    <t>Batanes</t>
  </si>
  <si>
    <t xml:space="preserve">20.78 </t>
  </si>
  <si>
    <t>122.05</t>
  </si>
  <si>
    <t>Banten</t>
  </si>
  <si>
    <t>Germany</t>
  </si>
  <si>
    <t>Baden-Württemberg</t>
  </si>
  <si>
    <t>47.75</t>
  </si>
  <si>
    <t>La Paz</t>
  </si>
  <si>
    <t>13.37</t>
  </si>
  <si>
    <t>-89.17</t>
  </si>
  <si>
    <t>40.51</t>
  </si>
  <si>
    <t>20.79</t>
  </si>
  <si>
    <t>07.2019</t>
  </si>
  <si>
    <t>Botswana</t>
  </si>
  <si>
    <t>Selebi-Phikwe</t>
  </si>
  <si>
    <t>-21.95</t>
  </si>
  <si>
    <t>Northern Territory</t>
  </si>
  <si>
    <t>-19.86</t>
  </si>
  <si>
    <t>133.76</t>
  </si>
  <si>
    <t>Libertador General Bernardo O'Higgins</t>
  </si>
  <si>
    <t>-34.23</t>
  </si>
  <si>
    <t>-72.22</t>
  </si>
  <si>
    <t>Fukushima</t>
  </si>
  <si>
    <t>6.2</t>
  </si>
  <si>
    <t>37.7</t>
  </si>
  <si>
    <t>141.66</t>
  </si>
  <si>
    <t>Kohgiluyeh &amp; Boyer Ahmad</t>
  </si>
  <si>
    <t>30.59</t>
  </si>
  <si>
    <t>50.79</t>
  </si>
  <si>
    <t>Yilan</t>
  </si>
  <si>
    <t>24.43</t>
  </si>
  <si>
    <t>121.91</t>
  </si>
  <si>
    <t>South Tyrol</t>
  </si>
  <si>
    <t>37.92</t>
  </si>
  <si>
    <t>29.60</t>
  </si>
  <si>
    <t>Zaqatala</t>
  </si>
  <si>
    <t>41.55</t>
  </si>
  <si>
    <t>46.46</t>
  </si>
  <si>
    <t>Kyrgyzstan</t>
  </si>
  <si>
    <t>Osh</t>
  </si>
  <si>
    <t>40.87</t>
  </si>
  <si>
    <t>73.41</t>
  </si>
  <si>
    <t>15.90</t>
  </si>
  <si>
    <t>-93.87</t>
  </si>
  <si>
    <t>-10.14</t>
  </si>
  <si>
    <t>-77.57</t>
  </si>
  <si>
    <t>East Azerbaijan</t>
  </si>
  <si>
    <t>Rakhine</t>
  </si>
  <si>
    <t>Madhya Pradesh</t>
  </si>
  <si>
    <t>1.7</t>
  </si>
  <si>
    <t>22.71</t>
  </si>
  <si>
    <t>76.27</t>
  </si>
  <si>
    <t>-12.39</t>
  </si>
  <si>
    <t>-75.25</t>
  </si>
  <si>
    <t>Java</t>
  </si>
  <si>
    <t>-6.78</t>
  </si>
  <si>
    <t>106.55</t>
  </si>
  <si>
    <t>Cusco</t>
  </si>
  <si>
    <t>-13.41</t>
  </si>
  <si>
    <t>-72.04</t>
  </si>
  <si>
    <t>Médéa</t>
  </si>
  <si>
    <t>36.37</t>
  </si>
  <si>
    <t>3.44</t>
  </si>
  <si>
    <t>Lara</t>
  </si>
  <si>
    <t>10.29</t>
  </si>
  <si>
    <t>-69.29</t>
  </si>
  <si>
    <t>2.1</t>
  </si>
  <si>
    <t>hydraulic fracturing</t>
  </si>
  <si>
    <t>III</t>
  </si>
  <si>
    <t>2.9</t>
  </si>
  <si>
    <t>16.14</t>
  </si>
  <si>
    <t>Bosnia-Herzegowina</t>
  </si>
  <si>
    <t>Tuzla</t>
  </si>
  <si>
    <t>22.75</t>
  </si>
  <si>
    <t>95.53</t>
  </si>
  <si>
    <t>29.55</t>
  </si>
  <si>
    <t>104.79</t>
  </si>
  <si>
    <t>Katavi</t>
  </si>
  <si>
    <t>-6.47</t>
  </si>
  <si>
    <t>30.77</t>
  </si>
  <si>
    <t>Jammu and Kashmir</t>
  </si>
  <si>
    <t>76.17</t>
  </si>
  <si>
    <t>10.55</t>
  </si>
  <si>
    <t>-64.41</t>
  </si>
  <si>
    <t>Armenia</t>
  </si>
  <si>
    <t>Lori</t>
  </si>
  <si>
    <t>41.1</t>
  </si>
  <si>
    <t>44.28</t>
  </si>
  <si>
    <t>Altai</t>
  </si>
  <si>
    <t>50.62</t>
  </si>
  <si>
    <t>87.33</t>
  </si>
  <si>
    <t>Maranhao</t>
  </si>
  <si>
    <t>3,2</t>
  </si>
  <si>
    <t>-2.96</t>
  </si>
  <si>
    <t>-44.74</t>
  </si>
  <si>
    <t>Cankiri</t>
  </si>
  <si>
    <t>40.73</t>
  </si>
  <si>
    <t>38.92</t>
  </si>
  <si>
    <t>44.33</t>
  </si>
  <si>
    <t>Gansu</t>
  </si>
  <si>
    <t>38.60</t>
  </si>
  <si>
    <t>100.35</t>
  </si>
  <si>
    <t>36.60</t>
  </si>
  <si>
    <t>50.02</t>
  </si>
  <si>
    <t>Kurdestan</t>
  </si>
  <si>
    <t>4,4</t>
  </si>
  <si>
    <t>46.4</t>
  </si>
  <si>
    <t>6,1</t>
  </si>
  <si>
    <t>-6.03</t>
  </si>
  <si>
    <t>111.85</t>
  </si>
  <si>
    <t>Durres</t>
  </si>
  <si>
    <t>5,8</t>
  </si>
  <si>
    <t>41.42</t>
  </si>
  <si>
    <t>19.51</t>
  </si>
  <si>
    <t>Istanbul</t>
  </si>
  <si>
    <t>4,6</t>
  </si>
  <si>
    <t>40.88</t>
  </si>
  <si>
    <t>28.21</t>
  </si>
  <si>
    <t>4,7</t>
  </si>
  <si>
    <t>31.88</t>
  </si>
  <si>
    <t>49.74</t>
  </si>
  <si>
    <t>Azad Kashmir</t>
  </si>
  <si>
    <t>5,6</t>
  </si>
  <si>
    <t>33.11</t>
  </si>
  <si>
    <t>73.77</t>
  </si>
  <si>
    <t>6,5</t>
  </si>
  <si>
    <t>-3.42</t>
  </si>
  <si>
    <t>128.37</t>
  </si>
  <si>
    <t>Antioquia</t>
  </si>
  <si>
    <t>4,0</t>
  </si>
  <si>
    <t>6.67</t>
  </si>
  <si>
    <t>-74.97</t>
  </si>
  <si>
    <t>33.16</t>
  </si>
  <si>
    <t>73.73</t>
  </si>
  <si>
    <t>5,7</t>
  </si>
  <si>
    <t>Los Lagos</t>
  </si>
  <si>
    <t>-40.81</t>
  </si>
  <si>
    <t>-72.12</t>
  </si>
  <si>
    <t>Mindanao</t>
  </si>
  <si>
    <t>6,2</t>
  </si>
  <si>
    <t>126.54</t>
  </si>
  <si>
    <t>Maule</t>
  </si>
  <si>
    <t>6,7</t>
  </si>
  <si>
    <t>-35.47</t>
  </si>
  <si>
    <t>-72.91</t>
  </si>
  <si>
    <t>Hawke's Bay</t>
  </si>
  <si>
    <t>5,4</t>
  </si>
  <si>
    <t>-39.11</t>
  </si>
  <si>
    <t>177.80</t>
  </si>
  <si>
    <t>Guizhou</t>
  </si>
  <si>
    <t>4,9</t>
  </si>
  <si>
    <t>108.38</t>
  </si>
  <si>
    <t>2,6</t>
  </si>
  <si>
    <t>50.25</t>
  </si>
  <si>
    <t>Southern Aegean</t>
  </si>
  <si>
    <t>5,1</t>
  </si>
  <si>
    <t>36.24</t>
  </si>
  <si>
    <t>28.49</t>
  </si>
  <si>
    <t>4,2</t>
  </si>
  <si>
    <t>28.45</t>
  </si>
  <si>
    <t>53.66</t>
  </si>
  <si>
    <t>Manipur</t>
  </si>
  <si>
    <t>24.77</t>
  </si>
  <si>
    <t>93.94</t>
  </si>
  <si>
    <t>3,8</t>
  </si>
  <si>
    <t>38.9</t>
  </si>
  <si>
    <t>16.45</t>
  </si>
  <si>
    <t>-3.57</t>
  </si>
  <si>
    <t>128.26</t>
  </si>
  <si>
    <t>Guangxi</t>
  </si>
  <si>
    <t>32.38</t>
  </si>
  <si>
    <t>49.75</t>
  </si>
  <si>
    <t>4,5</t>
  </si>
  <si>
    <t>28.00</t>
  </si>
  <si>
    <t>73.40</t>
  </si>
  <si>
    <t>37.94</t>
  </si>
  <si>
    <t>-122.01</t>
  </si>
  <si>
    <t>6,3</t>
  </si>
  <si>
    <t>6.76</t>
  </si>
  <si>
    <t>125.01</t>
  </si>
  <si>
    <t>2,7</t>
  </si>
  <si>
    <t>20.83</t>
  </si>
  <si>
    <t>73.35</t>
  </si>
  <si>
    <t>-3.56</t>
  </si>
  <si>
    <t>128.35</t>
  </si>
  <si>
    <t>Los Santos</t>
  </si>
  <si>
    <t>7.32</t>
  </si>
  <si>
    <t>-80.38</t>
  </si>
  <si>
    <t>Fiji</t>
  </si>
  <si>
    <t>Eastern Division</t>
  </si>
  <si>
    <t>5,3</t>
  </si>
  <si>
    <t>-18.88</t>
  </si>
  <si>
    <t>54.97</t>
  </si>
  <si>
    <t>Austria</t>
  </si>
  <si>
    <t>Tyrol</t>
  </si>
  <si>
    <t>47.54</t>
  </si>
  <si>
    <t>12.21</t>
  </si>
  <si>
    <t>Usulutan</t>
  </si>
  <si>
    <t>2,2</t>
  </si>
  <si>
    <t>13.54</t>
  </si>
  <si>
    <t>-88.51</t>
  </si>
  <si>
    <t>Andalucia</t>
  </si>
  <si>
    <t>37.01</t>
  </si>
  <si>
    <t>-5.27</t>
  </si>
  <si>
    <t>35.1</t>
  </si>
  <si>
    <t>102.69</t>
  </si>
  <si>
    <t>Novosibirsk</t>
  </si>
  <si>
    <t>54.68</t>
  </si>
  <si>
    <t>83.62</t>
  </si>
  <si>
    <t>6,6</t>
  </si>
  <si>
    <t>6.78</t>
  </si>
  <si>
    <t>125.04</t>
  </si>
  <si>
    <t>DR Congo</t>
  </si>
  <si>
    <t>Sud Kivu</t>
  </si>
  <si>
    <t>-2.84</t>
  </si>
  <si>
    <t>28.69</t>
  </si>
  <si>
    <t>6.96</t>
  </si>
  <si>
    <t>125.22</t>
  </si>
  <si>
    <t>/9</t>
  </si>
  <si>
    <t>/see Oct29</t>
  </si>
  <si>
    <t>South Africa</t>
  </si>
  <si>
    <t>KwaZulu-Natal</t>
  </si>
  <si>
    <t>4,3</t>
  </si>
  <si>
    <t>-30.51</t>
  </si>
  <si>
    <t>Semnan</t>
  </si>
  <si>
    <t>35.35</t>
  </si>
  <si>
    <t>53.26</t>
  </si>
  <si>
    <t>4,8</t>
  </si>
  <si>
    <t>20.75</t>
  </si>
  <si>
    <t>Central Bosnia</t>
  </si>
  <si>
    <t>44.27</t>
  </si>
  <si>
    <t>17.52</t>
  </si>
  <si>
    <t>27.23</t>
  </si>
  <si>
    <t>55.11</t>
  </si>
  <si>
    <t>41.78</t>
  </si>
  <si>
    <t>13.61</t>
  </si>
  <si>
    <t>5,9</t>
  </si>
  <si>
    <t xml:space="preserve">37.73 </t>
  </si>
  <si>
    <t>47.61</t>
  </si>
  <si>
    <t>Drôme</t>
  </si>
  <si>
    <t>under investigation</t>
  </si>
  <si>
    <t>44.57</t>
  </si>
  <si>
    <t>4.61</t>
  </si>
  <si>
    <t>5,2</t>
  </si>
  <si>
    <t>-3.48</t>
  </si>
  <si>
    <t>128.36</t>
  </si>
  <si>
    <t>Bas-Rhin</t>
  </si>
  <si>
    <t>3,0</t>
  </si>
  <si>
    <t>geothermal plant</t>
  </si>
  <si>
    <t>48.61</t>
  </si>
  <si>
    <t>7.79</t>
  </si>
  <si>
    <t>San Salvador</t>
  </si>
  <si>
    <t>3,9</t>
  </si>
  <si>
    <t>13.71</t>
  </si>
  <si>
    <t>-89.32</t>
  </si>
  <si>
    <t>Yangoon</t>
  </si>
  <si>
    <t>4,1</t>
  </si>
  <si>
    <t>16.75</t>
  </si>
  <si>
    <t>96.19</t>
  </si>
  <si>
    <t>2,4</t>
  </si>
  <si>
    <t>113.36</t>
  </si>
  <si>
    <t>Bali</t>
  </si>
  <si>
    <t>5,0</t>
  </si>
  <si>
    <t>-8.16</t>
  </si>
  <si>
    <t>114.90</t>
  </si>
  <si>
    <t>Molucca Sea</t>
  </si>
  <si>
    <t>7,0</t>
  </si>
  <si>
    <t>1.60</t>
  </si>
  <si>
    <t>126.36</t>
  </si>
  <si>
    <t>Morocco</t>
  </si>
  <si>
    <t>Fès-Meknès</t>
  </si>
  <si>
    <t xml:space="preserve">32.65 </t>
  </si>
  <si>
    <t>-4.32</t>
  </si>
  <si>
    <t>70.3</t>
  </si>
  <si>
    <t>Bukidnon</t>
  </si>
  <si>
    <t>7.65</t>
  </si>
  <si>
    <t xml:space="preserve">125.04 </t>
  </si>
  <si>
    <t>38.54</t>
  </si>
  <si>
    <t>44.4</t>
  </si>
  <si>
    <t>Nepal</t>
  </si>
  <si>
    <t>Far Western</t>
  </si>
  <si>
    <t>29.36</t>
  </si>
  <si>
    <t>81.22</t>
  </si>
  <si>
    <t>Lower Saxony</t>
  </si>
  <si>
    <t>gas extraction</t>
  </si>
  <si>
    <t>52.96</t>
  </si>
  <si>
    <t>9.29</t>
  </si>
  <si>
    <t>3</t>
  </si>
  <si>
    <t>Sainyabuli</t>
  </si>
  <si>
    <t>19.45</t>
  </si>
  <si>
    <t>101.34</t>
  </si>
  <si>
    <t>25.97</t>
  </si>
  <si>
    <t>99.70</t>
  </si>
  <si>
    <t>22.96</t>
  </si>
  <si>
    <t>106.71</t>
  </si>
  <si>
    <t>Vietnam</t>
  </si>
  <si>
    <t>-3.77</t>
  </si>
  <si>
    <t>128.80</t>
  </si>
  <si>
    <t>6,4</t>
  </si>
  <si>
    <t>41.45</t>
  </si>
  <si>
    <t>19.44</t>
  </si>
  <si>
    <t>Montenegro</t>
  </si>
  <si>
    <t>Srpska</t>
  </si>
  <si>
    <t>43.20</t>
  </si>
  <si>
    <t>17.96</t>
  </si>
  <si>
    <t>Crete</t>
  </si>
  <si>
    <t>35.58</t>
  </si>
  <si>
    <t>Mandalay</t>
  </si>
  <si>
    <t>23.14</t>
  </si>
  <si>
    <t>96.02</t>
  </si>
  <si>
    <t>3,1</t>
  </si>
  <si>
    <t>20.78</t>
  </si>
  <si>
    <t>73.32</t>
  </si>
  <si>
    <t>32.01</t>
  </si>
  <si>
    <t>49.83</t>
  </si>
  <si>
    <t>Quito</t>
  </si>
  <si>
    <t>-0.13</t>
  </si>
  <si>
    <t>-78.4</t>
  </si>
  <si>
    <t>Tuscany</t>
  </si>
  <si>
    <t>11.31</t>
  </si>
  <si>
    <t>30.95</t>
  </si>
  <si>
    <t>50.09</t>
  </si>
  <si>
    <t>Balikesir</t>
  </si>
  <si>
    <t>39.44</t>
  </si>
  <si>
    <t>27.94</t>
  </si>
  <si>
    <t>3,6</t>
  </si>
  <si>
    <t>Ground Water Extraction</t>
  </si>
  <si>
    <t>37.86</t>
  </si>
  <si>
    <t>-1.9</t>
  </si>
  <si>
    <t>Davao del Sur</t>
  </si>
  <si>
    <t>6,8</t>
  </si>
  <si>
    <t>6.71</t>
  </si>
  <si>
    <t>New South Wales</t>
  </si>
  <si>
    <t>-32.35</t>
  </si>
  <si>
    <t>150.84</t>
  </si>
  <si>
    <t>104.82</t>
  </si>
  <si>
    <t>36.52</t>
  </si>
  <si>
    <t>70.57</t>
  </si>
  <si>
    <t>Tajikistan</t>
  </si>
  <si>
    <t>32.42</t>
  </si>
  <si>
    <t>48.70</t>
  </si>
  <si>
    <t>Departamento del Meta</t>
  </si>
  <si>
    <t>3.49</t>
  </si>
  <si>
    <t>-7.88</t>
  </si>
  <si>
    <t>106.81</t>
  </si>
  <si>
    <t>11.15</t>
  </si>
  <si>
    <t>122.67</t>
  </si>
  <si>
    <t>Hubei</t>
  </si>
  <si>
    <t>30.88</t>
  </si>
  <si>
    <t>113.41</t>
  </si>
  <si>
    <t>51.39</t>
  </si>
  <si>
    <t>27.28</t>
  </si>
  <si>
    <t>56.71</t>
  </si>
  <si>
    <t>Gilgit-Baltistan</t>
  </si>
  <si>
    <t>35.52</t>
  </si>
  <si>
    <t>74.68</t>
  </si>
  <si>
    <t>Magnitude</t>
  </si>
  <si>
    <r>
      <t xml:space="preserve">Intensity (MMI / </t>
    </r>
    <r>
      <rPr>
        <i/>
        <sz val="10"/>
        <rFont val="Arial"/>
      </rPr>
      <t>JMA</t>
    </r>
    <r>
      <rPr>
        <sz val="11"/>
        <color theme="1"/>
        <rFont val="Calibri"/>
        <family val="2"/>
        <scheme val="minor"/>
      </rPr>
      <t>)</t>
    </r>
  </si>
  <si>
    <t>blank cells: no data available (yet)</t>
  </si>
  <si>
    <t>Central Macedonia</t>
  </si>
  <si>
    <t>Macedonia</t>
  </si>
  <si>
    <t>OS: offshore</t>
  </si>
  <si>
    <t>Alberta</t>
  </si>
  <si>
    <t>Cryoseism</t>
  </si>
  <si>
    <t>weather</t>
  </si>
  <si>
    <t>Blida</t>
  </si>
  <si>
    <t>OS La Libertad</t>
  </si>
  <si>
    <t>Plov</t>
  </si>
  <si>
    <t>Kermanschah</t>
  </si>
  <si>
    <t xml:space="preserve"> </t>
  </si>
  <si>
    <t>OS Honduras</t>
  </si>
  <si>
    <t>Islas de la Bahia</t>
  </si>
  <si>
    <t>40 cm</t>
  </si>
  <si>
    <t>19 cm</t>
  </si>
  <si>
    <t>2 cm</t>
  </si>
  <si>
    <t>cm</t>
  </si>
  <si>
    <t>(For questions, etc. regarding this database)</t>
  </si>
  <si>
    <t>Contact: Jens Skapski (from Germany)</t>
  </si>
  <si>
    <t>&lt;&lt; jens.skapski(a)gmail.com &gt;&gt;</t>
  </si>
  <si>
    <t>Alajuela</t>
  </si>
  <si>
    <t>triggered</t>
  </si>
  <si>
    <t>Bago Division</t>
  </si>
  <si>
    <t>OS Peru</t>
  </si>
  <si>
    <t>Evora</t>
  </si>
  <si>
    <t>Vorarlberg</t>
  </si>
  <si>
    <t>OS Mexico</t>
  </si>
  <si>
    <t>Baja California</t>
  </si>
  <si>
    <t>OS Indonesia</t>
  </si>
  <si>
    <t>OS USA</t>
  </si>
  <si>
    <t>Alaska</t>
  </si>
  <si>
    <t>21 cm</t>
  </si>
  <si>
    <t>12 cm</t>
  </si>
  <si>
    <t>Beluchistan</t>
  </si>
  <si>
    <t>Badakhstan</t>
  </si>
  <si>
    <t>Mato Grosso</t>
  </si>
  <si>
    <t>Chabarowsk</t>
  </si>
  <si>
    <t>Split-Dalmatia</t>
  </si>
  <si>
    <t>Aceh</t>
  </si>
  <si>
    <t>Henan</t>
  </si>
  <si>
    <t>OS Colima</t>
  </si>
  <si>
    <t>South Korea</t>
  </si>
  <si>
    <t>Gyeongsangbuk-do</t>
  </si>
  <si>
    <t>geothermal</t>
  </si>
  <si>
    <t>Wales</t>
  </si>
  <si>
    <t>Durango</t>
  </si>
  <si>
    <t>reservoir?</t>
  </si>
  <si>
    <t>Bulgaria</t>
  </si>
  <si>
    <t>Plovdiv</t>
  </si>
  <si>
    <t>Southern Highlands</t>
  </si>
  <si>
    <t>Mauritius</t>
  </si>
  <si>
    <t>/1</t>
  </si>
  <si>
    <t>Alagoas</t>
  </si>
  <si>
    <t>/11</t>
  </si>
  <si>
    <t>Oklahoma</t>
  </si>
  <si>
    <t>/25</t>
  </si>
  <si>
    <t>Kerman</t>
  </si>
  <si>
    <t>Myamnar</t>
  </si>
  <si>
    <t>Naypyidaw</t>
  </si>
  <si>
    <t>Quang Nam</t>
  </si>
  <si>
    <t>Ocotepeque</t>
  </si>
  <si>
    <t>Mozambique</t>
  </si>
  <si>
    <t>Zambezia</t>
  </si>
  <si>
    <t>Tunis</t>
  </si>
  <si>
    <t>Malaysia</t>
  </si>
  <si>
    <t>Sabah</t>
  </si>
  <si>
    <t>Kunene</t>
  </si>
  <si>
    <t>Jammu &amp; Kashmir</t>
  </si>
  <si>
    <t>Upper Austria</t>
  </si>
  <si>
    <t>Baringo</t>
  </si>
  <si>
    <t>tectonic?</t>
  </si>
  <si>
    <t>Sukabumi</t>
  </si>
  <si>
    <t>Kohgiluyeh-Boyerahmad</t>
  </si>
  <si>
    <t>Tamil Nadu</t>
  </si>
  <si>
    <t>Bolivia</t>
  </si>
  <si>
    <t>Chuquisaca</t>
  </si>
  <si>
    <t>OS Usulutan</t>
  </si>
  <si>
    <t>volc/tec</t>
  </si>
  <si>
    <t>Tachira</t>
  </si>
  <si>
    <t>Tarapaca</t>
  </si>
  <si>
    <t>OS California</t>
  </si>
  <si>
    <t>Shimane</t>
  </si>
  <si>
    <t>5+</t>
  </si>
  <si>
    <t>Marche</t>
  </si>
  <si>
    <t>North Rhine Westphalia</t>
  </si>
  <si>
    <t>Java Tengah</t>
  </si>
  <si>
    <t>Caldas</t>
  </si>
  <si>
    <t>Adiyaman</t>
  </si>
  <si>
    <t>Gümüshane</t>
  </si>
  <si>
    <t>Andalusia</t>
  </si>
  <si>
    <t>Caraboro</t>
  </si>
  <si>
    <t>Michoacan</t>
  </si>
  <si>
    <t>Hawaii</t>
  </si>
  <si>
    <t>volcanic</t>
  </si>
  <si>
    <t>OS Coquimbo</t>
  </si>
  <si>
    <t>Caramines Sur</t>
  </si>
  <si>
    <t>Yushu, Qinghai</t>
  </si>
  <si>
    <t>La Union</t>
  </si>
  <si>
    <t>Agri</t>
  </si>
  <si>
    <t>Carabobo</t>
  </si>
  <si>
    <t>FATA</t>
  </si>
  <si>
    <t>Ravazi-Khorasan</t>
  </si>
  <si>
    <t>Nagano</t>
  </si>
  <si>
    <t>Czech Republic</t>
  </si>
  <si>
    <t>Karjovarsky Kraj</t>
  </si>
  <si>
    <t>Texas</t>
  </si>
  <si>
    <t>Vlora</t>
  </si>
  <si>
    <t>Cotacachi</t>
  </si>
  <si>
    <t>May/June</t>
  </si>
  <si>
    <t>Mayotte</t>
  </si>
  <si>
    <t>Benin</t>
  </si>
  <si>
    <t>Mono</t>
  </si>
  <si>
    <t>Assam</t>
  </si>
  <si>
    <t>Puebla</t>
  </si>
  <si>
    <t>Narino</t>
  </si>
  <si>
    <t>#15.06.2018</t>
  </si>
  <si>
    <t>#Indonesia</t>
  </si>
  <si>
    <t>#Papua</t>
  </si>
  <si>
    <t>#5,5</t>
  </si>
  <si>
    <t>#10</t>
  </si>
  <si>
    <t>#0</t>
  </si>
  <si>
    <t>#3</t>
  </si>
  <si>
    <t>#200</t>
  </si>
  <si>
    <t>#32</t>
  </si>
  <si>
    <t>#86</t>
  </si>
  <si>
    <t>Punjab</t>
  </si>
  <si>
    <t>Gunma</t>
  </si>
  <si>
    <t>Osaka</t>
  </si>
  <si>
    <t>Jiangxi</t>
  </si>
  <si>
    <t>Chiayi</t>
  </si>
  <si>
    <t>Mine Collapse</t>
  </si>
  <si>
    <t>Northern District</t>
  </si>
  <si>
    <t>Kamchatka</t>
  </si>
  <si>
    <t>Jaipur</t>
  </si>
  <si>
    <t>Chihuahua</t>
  </si>
  <si>
    <t>Surigao del Norte</t>
  </si>
  <si>
    <t>Tainan</t>
  </si>
  <si>
    <t>Kalimantan Tenga</t>
  </si>
  <si>
    <t xml:space="preserve">Kerman </t>
  </si>
  <si>
    <t>North Khorasan</t>
  </si>
  <si>
    <t>Huila</t>
  </si>
  <si>
    <t>Iraq</t>
  </si>
  <si>
    <t>Valencia</t>
  </si>
  <si>
    <t>Lorestan</t>
  </si>
  <si>
    <t>/20</t>
  </si>
  <si>
    <t>/424</t>
  </si>
  <si>
    <t>/10170</t>
  </si>
  <si>
    <t>/10393</t>
  </si>
  <si>
    <t>/9836</t>
  </si>
  <si>
    <t>Northrhine Westphalia</t>
  </si>
  <si>
    <t>/540</t>
  </si>
  <si>
    <t>/7773</t>
  </si>
  <si>
    <t>/417529</t>
  </si>
  <si>
    <t>/39946</t>
  </si>
  <si>
    <t>/32016</t>
  </si>
  <si>
    <t>13 cm</t>
  </si>
  <si>
    <t>Santander</t>
  </si>
  <si>
    <t>/3</t>
  </si>
  <si>
    <t>/24</t>
  </si>
  <si>
    <t xml:space="preserve">Dibër </t>
  </si>
  <si>
    <t>Molise</t>
  </si>
  <si>
    <t>Queretaro</t>
  </si>
  <si>
    <t>/2</t>
  </si>
  <si>
    <t>/646</t>
  </si>
  <si>
    <t>/1054</t>
  </si>
  <si>
    <t>/18</t>
  </si>
  <si>
    <t>/3717</t>
  </si>
  <si>
    <t>/2000</t>
  </si>
  <si>
    <t>Adana</t>
  </si>
  <si>
    <t>Trinidad and Tobago</t>
  </si>
  <si>
    <t>Vanuatu</t>
  </si>
  <si>
    <t>Pentecost</t>
  </si>
  <si>
    <t>East Nusa Tenggara</t>
  </si>
  <si>
    <t>Lankaran</t>
  </si>
  <si>
    <t>New Caledonia</t>
  </si>
  <si>
    <t>27 cm</t>
  </si>
  <si>
    <t>Cheljabinsk</t>
  </si>
  <si>
    <t>X / 7</t>
  </si>
  <si>
    <t>Chimborazo</t>
  </si>
  <si>
    <t>Sistan &amp; Beluchestan</t>
  </si>
  <si>
    <t>Davao</t>
  </si>
  <si>
    <t>Bangladesh</t>
  </si>
  <si>
    <t>Bhutan</t>
  </si>
  <si>
    <t>Shaanxi</t>
  </si>
  <si>
    <t>Monte Cristi</t>
  </si>
  <si>
    <t>11 m</t>
  </si>
  <si>
    <t>OS Martinique</t>
  </si>
  <si>
    <t>gas production</t>
  </si>
  <si>
    <t>Cuzco</t>
  </si>
  <si>
    <t>Sicily</t>
  </si>
  <si>
    <t>vol/tec</t>
  </si>
  <si>
    <t>Haiti</t>
  </si>
  <si>
    <t>Nord Ouest</t>
  </si>
  <si>
    <t>New Britain</t>
  </si>
  <si>
    <t>Pernambuco</t>
  </si>
  <si>
    <t>Hamedan</t>
  </si>
  <si>
    <t>waste water disposal</t>
  </si>
  <si>
    <t>Romania</t>
  </si>
  <si>
    <t>Buzau</t>
  </si>
  <si>
    <t>Georgia</t>
  </si>
  <si>
    <t>Samtskhe–Javakheti</t>
  </si>
  <si>
    <t>Sulawesi Barat</t>
  </si>
  <si>
    <t>Iloilo</t>
  </si>
  <si>
    <t>Racha-Lechkhumi&amp;Kvemo Svaneti</t>
  </si>
  <si>
    <t>Kamtchatka</t>
  </si>
  <si>
    <t>Idaho</t>
  </si>
  <si>
    <t>Rhone-Alpes</t>
  </si>
  <si>
    <t>Trujillo</t>
  </si>
  <si>
    <t>Krasnodar</t>
  </si>
  <si>
    <t>Coahuila</t>
  </si>
  <si>
    <t>Baglan</t>
  </si>
  <si>
    <t>Buenos Aires</t>
  </si>
  <si>
    <t>Isfahan</t>
  </si>
  <si>
    <t>2 m</t>
  </si>
  <si>
    <t>Yaracuy</t>
  </si>
  <si>
    <t>Valparaiso</t>
  </si>
  <si>
    <t>Ambrym</t>
  </si>
  <si>
    <t>Tibet</t>
  </si>
  <si>
    <t xml:space="preserve">VII </t>
  </si>
  <si>
    <t>Papua Barat</t>
  </si>
  <si>
    <t>Nuevo Leon</t>
  </si>
  <si>
    <t>Kanchanaburi</t>
  </si>
  <si>
    <t>Kerman (aftershock)</t>
  </si>
  <si>
    <t>Tehran (aftershock)</t>
  </si>
  <si>
    <t>Cali</t>
  </si>
  <si>
    <t>Tehran</t>
  </si>
  <si>
    <t>Moravskoslezsky Kraj</t>
  </si>
  <si>
    <t>Bengkulu</t>
  </si>
  <si>
    <t>Castilla-La Mancha</t>
  </si>
  <si>
    <t>Manabi</t>
  </si>
  <si>
    <t>Sud-Kivu</t>
  </si>
  <si>
    <t>Congo</t>
  </si>
  <si>
    <t xml:space="preserve">Indonesia </t>
  </si>
  <si>
    <t>Mugla</t>
  </si>
  <si>
    <t>Chongqing</t>
  </si>
  <si>
    <t>Al Wasit</t>
  </si>
  <si>
    <t>25 cm</t>
  </si>
  <si>
    <t>OS New Caledonia</t>
  </si>
  <si>
    <t>Emilia-Romagna</t>
  </si>
  <si>
    <t>OS North Maluku</t>
  </si>
  <si>
    <t>Agdam</t>
  </si>
  <si>
    <t>Yeongnam</t>
  </si>
  <si>
    <t>Salta</t>
  </si>
  <si>
    <t>Lower Austria</t>
  </si>
  <si>
    <t>10 cm</t>
  </si>
  <si>
    <t>OS Molucca</t>
  </si>
  <si>
    <t>Bali (Mt. Agung)</t>
  </si>
  <si>
    <t>Swarm</t>
  </si>
  <si>
    <t>OS Java Barat</t>
  </si>
  <si>
    <t>Telangana (Hyderabad area)</t>
  </si>
  <si>
    <t>North Chorasan</t>
  </si>
  <si>
    <t xml:space="preserve">Bali  </t>
  </si>
  <si>
    <t>Vendée</t>
  </si>
  <si>
    <t>Arica</t>
  </si>
  <si>
    <t>/50610</t>
  </si>
  <si>
    <t>/180731</t>
  </si>
  <si>
    <t>/=458392+193546</t>
  </si>
  <si>
    <t>/7600</t>
  </si>
  <si>
    <t>/475</t>
  </si>
  <si>
    <t>8,1 ; 7,1</t>
  </si>
  <si>
    <t>several large earthquakes</t>
  </si>
  <si>
    <t xml:space="preserve">September </t>
  </si>
  <si>
    <t>Northern Molucca</t>
  </si>
  <si>
    <t>Paraná</t>
  </si>
  <si>
    <t>Lima</t>
  </si>
  <si>
    <t>Bavaria</t>
  </si>
  <si>
    <t>175 cm</t>
  </si>
  <si>
    <t>OS Chiapas</t>
  </si>
  <si>
    <t>Minas Gerais</t>
  </si>
  <si>
    <t>South Chorasan</t>
  </si>
  <si>
    <t>Katowice</t>
  </si>
  <si>
    <t>Boucan-Carré</t>
  </si>
  <si>
    <t>Ningxia</t>
  </si>
  <si>
    <t>OS Sumatra Barat</t>
  </si>
  <si>
    <t>OS Vargas</t>
  </si>
  <si>
    <t>Sulaimaniyya</t>
  </si>
  <si>
    <t>Leyte</t>
  </si>
  <si>
    <t>Campania</t>
  </si>
  <si>
    <t>Dhi Qar</t>
  </si>
  <si>
    <t>OS Bengkulu</t>
  </si>
  <si>
    <t>OS Arequipa</t>
  </si>
  <si>
    <t>Primorje</t>
  </si>
  <si>
    <t>Misamis</t>
  </si>
  <si>
    <t xml:space="preserve">V </t>
  </si>
  <si>
    <t>South Cotabato</t>
  </si>
  <si>
    <t>Santiago</t>
  </si>
  <si>
    <t>Chaharmahal and Bakhtiari</t>
  </si>
  <si>
    <t>Hamadan</t>
  </si>
  <si>
    <t>28.07,2017</t>
  </si>
  <si>
    <t>150 cm</t>
  </si>
  <si>
    <t>OS Dodecanese</t>
  </si>
  <si>
    <t>OS Kamtchatka</t>
  </si>
  <si>
    <t>OS Crete</t>
  </si>
  <si>
    <t>Karlovarsky Kraj</t>
  </si>
  <si>
    <t>Shindo 5+</t>
  </si>
  <si>
    <t>Kagoshima</t>
  </si>
  <si>
    <t>Montana</t>
  </si>
  <si>
    <t>Ohrid</t>
  </si>
  <si>
    <t>OS Guerrero</t>
  </si>
  <si>
    <t>Shindo 5-</t>
  </si>
  <si>
    <t>Guanajuato</t>
  </si>
  <si>
    <t>Sofala</t>
  </si>
  <si>
    <t>OS Escuintla</t>
  </si>
  <si>
    <t>Central</t>
  </si>
  <si>
    <t>San Marcos</t>
  </si>
  <si>
    <t>OS North Aegean</t>
  </si>
  <si>
    <t>Kohgiluyeh va Boyer Ahmad</t>
  </si>
  <si>
    <t>Piura</t>
  </si>
  <si>
    <t>Nei Mongol</t>
  </si>
  <si>
    <t>Haryana</t>
  </si>
  <si>
    <t>Santa Rosa</t>
  </si>
  <si>
    <t>Sulawesi</t>
  </si>
  <si>
    <t>Mwanza</t>
  </si>
  <si>
    <t>OS Java Timur</t>
  </si>
  <si>
    <t>North Chorazan (aftershock)</t>
  </si>
  <si>
    <t>Ayacucho</t>
  </si>
  <si>
    <t>North Chorazan</t>
  </si>
  <si>
    <t>Erzurum</t>
  </si>
  <si>
    <t>Saatli</t>
  </si>
  <si>
    <t>Nohiyahoi tobei jumhurī</t>
  </si>
  <si>
    <t>British Columbia</t>
  </si>
  <si>
    <t>Valparaiso (aftershock)</t>
  </si>
  <si>
    <t>Colima</t>
  </si>
  <si>
    <t>Cauca</t>
  </si>
  <si>
    <t>OS Sarangani</t>
  </si>
  <si>
    <t>16 cm</t>
  </si>
  <si>
    <t>OS Valparaiso</t>
  </si>
  <si>
    <t>Labé</t>
  </si>
  <si>
    <t>Guinea</t>
  </si>
  <si>
    <t>Shan State</t>
  </si>
  <si>
    <t>Zhejiang</t>
  </si>
  <si>
    <t>Misamis Oriental</t>
  </si>
  <si>
    <t>Qark Lezha</t>
  </si>
  <si>
    <t>Batangas</t>
  </si>
  <si>
    <t>Peloponnese</t>
  </si>
  <si>
    <t xml:space="preserve">Eastern  </t>
  </si>
  <si>
    <t>Kazakhstan</t>
  </si>
  <si>
    <t>Moiyabana</t>
  </si>
  <si>
    <t>Gauteng</t>
  </si>
  <si>
    <t>Sinaloa (OS)</t>
  </si>
  <si>
    <t>5286</t>
  </si>
  <si>
    <t>Central Visayas</t>
  </si>
  <si>
    <t>Falcon (OS)</t>
  </si>
  <si>
    <t>Navarra</t>
  </si>
  <si>
    <t>Schwyz</t>
  </si>
  <si>
    <t>Switzerland</t>
  </si>
  <si>
    <t>Surigao del Norte (OS)</t>
  </si>
  <si>
    <t>Skikda</t>
  </si>
  <si>
    <t>Eastern (aftershock)</t>
  </si>
  <si>
    <t>Sichuan (aftershock)</t>
  </si>
  <si>
    <t>Northern Province</t>
  </si>
  <si>
    <t>Zambia</t>
  </si>
  <si>
    <t>Aquintaine</t>
  </si>
  <si>
    <t>Alabama</t>
  </si>
  <si>
    <t>Java Barut</t>
  </si>
  <si>
    <t>Veracruz (OS)</t>
  </si>
  <si>
    <t>Canakkale</t>
  </si>
  <si>
    <t>Martinique (OS)</t>
  </si>
  <si>
    <t>Batken</t>
  </si>
  <si>
    <t>South Australia</t>
  </si>
  <si>
    <t>Esmeraldas</t>
  </si>
  <si>
    <t>Berat</t>
  </si>
  <si>
    <t>Oromia</t>
  </si>
  <si>
    <t>Ethiopia</t>
  </si>
  <si>
    <t>Northrhine-Westphalia</t>
  </si>
  <si>
    <t>Copyright: All rights belong to Jens Skapski and other "Earthquake Impact Database" contributors. All rights reserved. Use of this data only with linking to this database or our Facebook-Page (see link below)</t>
  </si>
  <si>
    <t>Bougainville</t>
  </si>
  <si>
    <t>Participation: Dr. James Daniell, Armand Vervaeck, Carlos Robles, Jamie Gurney, Lukas Rentz</t>
  </si>
  <si>
    <t>Samtskhe-Javakheti</t>
  </si>
  <si>
    <t>Angola</t>
  </si>
  <si>
    <t>Sindh (Karachi area)</t>
  </si>
  <si>
    <t>Annual Impact coefficient</t>
  </si>
  <si>
    <t>Santiago de Cuba (OS)</t>
  </si>
  <si>
    <t>Antananarivo</t>
  </si>
  <si>
    <t>Madagascar</t>
  </si>
  <si>
    <t>Sulu (OS)</t>
  </si>
  <si>
    <t>Western Greece</t>
  </si>
  <si>
    <t>Nunavut (OS)</t>
  </si>
  <si>
    <t>1 cm</t>
  </si>
  <si>
    <t>Western Division (OS)</t>
  </si>
  <si>
    <t>Tripura</t>
  </si>
  <si>
    <t>Umbria</t>
  </si>
  <si>
    <t>Impact coefficient (D)</t>
  </si>
  <si>
    <t>Intensity (MMI)</t>
  </si>
  <si>
    <t>Region</t>
  </si>
  <si>
    <t>Country</t>
  </si>
  <si>
    <t>Legend</t>
  </si>
  <si>
    <t>Country, Region (Epicenter)</t>
  </si>
  <si>
    <t>Damage level</t>
  </si>
  <si>
    <t>Tsu. height</t>
  </si>
  <si>
    <t>USA, Oklahoma</t>
  </si>
  <si>
    <t>[4,2]</t>
  </si>
  <si>
    <t>Ecuador, Esmeraldas</t>
  </si>
  <si>
    <t>1: non-structural damage</t>
  </si>
  <si>
    <t>Brazil, Parana</t>
  </si>
  <si>
    <t>1 - 2: very limited structural damage</t>
  </si>
  <si>
    <t>China, Sichuan</t>
  </si>
  <si>
    <t>1 - 2</t>
  </si>
  <si>
    <t>India, Manipur</t>
  </si>
  <si>
    <t>2 - 3: Some houses severely damaged</t>
  </si>
  <si>
    <t>China, Xinjiang</t>
  </si>
  <si>
    <t>3: Some houses collapsed, others damaged</t>
  </si>
  <si>
    <t>[06.01.2016]</t>
  </si>
  <si>
    <t>[North Korea, Hamgyong-Pukto]</t>
  </si>
  <si>
    <t>[5,1]</t>
  </si>
  <si>
    <t>[1]</t>
  </si>
  <si>
    <t>[0]</t>
  </si>
  <si>
    <t>[--]</t>
  </si>
  <si>
    <t>[4,8]</t>
  </si>
  <si>
    <t>4: Many houses collapsed and others damage</t>
  </si>
  <si>
    <t>Afghanistan, Badakhshan (aftershock)</t>
  </si>
  <si>
    <t>OS Indonesia, West Nusa Tenggara</t>
  </si>
  <si>
    <t>5: Massive destruction</t>
  </si>
  <si>
    <t>Zambia, Southern</t>
  </si>
  <si>
    <t>5+: More than 20.000 houses destroyed</t>
  </si>
  <si>
    <t>Turkey, Kirsehir</t>
  </si>
  <si>
    <t>Kenya, Tharaka Nithi</t>
  </si>
  <si>
    <t>Move your cursor to the cell with a black triangle in the upper right corner to show more information</t>
  </si>
  <si>
    <t>China, Ningxia</t>
  </si>
  <si>
    <t>Indonesia, East Nusa Tenggara (Mt. Egon)</t>
  </si>
  <si>
    <t>CHina</t>
  </si>
  <si>
    <t>OS Japan, Hokkaido</t>
  </si>
  <si>
    <t>JMA 5-</t>
  </si>
  <si>
    <t>Germany, Lower Saxony</t>
  </si>
  <si>
    <t>[2,7]</t>
  </si>
  <si>
    <t>Italy, Molise</t>
  </si>
  <si>
    <t>OS Indonesia, Molukka</t>
  </si>
  <si>
    <t>3 - 4</t>
  </si>
  <si>
    <t>India, Kerala</t>
  </si>
  <si>
    <t>China, Gansu</t>
  </si>
  <si>
    <t>2 - 3</t>
  </si>
  <si>
    <t>OS Morocco, Oriental</t>
  </si>
  <si>
    <t>Poland, Lower Silesia</t>
  </si>
  <si>
    <t>[3.5]</t>
  </si>
  <si>
    <t>Iran, Fars</t>
  </si>
  <si>
    <t>Sri Lanka, Northern Province</t>
  </si>
  <si>
    <t>Sri Lanka</t>
  </si>
  <si>
    <t>China, Guizhou</t>
  </si>
  <si>
    <t>USA, Alaska</t>
  </si>
  <si>
    <t>Ethiopia, Southern (Hawasa area)</t>
  </si>
  <si>
    <t>India, Rajasthan</t>
  </si>
  <si>
    <t>Austria, Vorarlberg</t>
  </si>
  <si>
    <t>China, Guanxi</t>
  </si>
  <si>
    <t>Nepal, Central (aftershock)</t>
  </si>
  <si>
    <t>Taiwan, Kaohsiung</t>
  </si>
  <si>
    <t>China, Yunnan</t>
  </si>
  <si>
    <t>Italy, Sicily</t>
  </si>
  <si>
    <t>Canada, New Brunswick</t>
  </si>
  <si>
    <t>Mexico, Puebla</t>
  </si>
  <si>
    <t>New Zealand, Marlborough</t>
  </si>
  <si>
    <t>Algeria, Blida</t>
  </si>
  <si>
    <t xml:space="preserve">Indonesia, East Nusa Tenggara  </t>
  </si>
  <si>
    <t>OS New Zealand, Canterbury (Christchurch area)</t>
  </si>
  <si>
    <t>Greece, Peloponnese</t>
  </si>
  <si>
    <t>Peru, Arequipa (Sabancaya Volcano)</t>
  </si>
  <si>
    <t>Nepal, Western (aftershock)</t>
  </si>
  <si>
    <t>Brazil, Pernambuco</t>
  </si>
  <si>
    <t>OS Indonesia, Maluku Islands</t>
  </si>
  <si>
    <t>Myanmar, Yangon</t>
  </si>
  <si>
    <t>Netherlands, Groningen</t>
  </si>
  <si>
    <t>[2,4]</t>
  </si>
  <si>
    <t>OS Indonesia, Mentawai</t>
  </si>
  <si>
    <t>France, Laguedoc-Rousillion</t>
  </si>
  <si>
    <t>Brazil, Ceara</t>
  </si>
  <si>
    <t>[3,4]</t>
  </si>
  <si>
    <t>China, Guangxi</t>
  </si>
  <si>
    <t>China, Shanxi</t>
  </si>
  <si>
    <t>OS Morocco, Oriental (aftershock)</t>
  </si>
  <si>
    <t>India, Madhya Pradesh</t>
  </si>
  <si>
    <t>Ecuador, Pichincha (Quito area)</t>
  </si>
  <si>
    <t>India, Jammu and Kashmir</t>
  </si>
  <si>
    <t>Iran, East Azerbaijan</t>
  </si>
  <si>
    <t>China, Shandong</t>
  </si>
  <si>
    <t>[3.1]</t>
  </si>
  <si>
    <t>Iran, Hamadan</t>
  </si>
  <si>
    <t>Iran, Chaharmahal va Bakhtiari</t>
  </si>
  <si>
    <t>Indonesia, West Nusa Tenggara</t>
  </si>
  <si>
    <t>Mexico, Hidalgo</t>
  </si>
  <si>
    <t>OS Indonesia, Jawa Barat</t>
  </si>
  <si>
    <t>OS Indonesia, Bengkulu</t>
  </si>
  <si>
    <t>Pakistan, Khyber Pakhtunkwar (aftershock)</t>
  </si>
  <si>
    <t>Algeria, Medea</t>
  </si>
  <si>
    <t>Brazil, Minas Gerais</t>
  </si>
  <si>
    <t>Myanmar, Sagaing</t>
  </si>
  <si>
    <t>OS Philippines, Zamboanga Peninsula</t>
  </si>
  <si>
    <t>Japan, Kumamoto</t>
  </si>
  <si>
    <t>X</t>
  </si>
  <si>
    <t>JMA 6+</t>
  </si>
  <si>
    <t>OS Ecuador, Esmeraldas</t>
  </si>
  <si>
    <t>14 cm</t>
  </si>
  <si>
    <t>Bulgaria, Sliven</t>
  </si>
  <si>
    <t>[3,2]</t>
  </si>
  <si>
    <t>Austria, Lower Austria</t>
  </si>
  <si>
    <t>Brazil, Mato Grosso</t>
  </si>
  <si>
    <t>France, Poitou-Charentes</t>
  </si>
  <si>
    <t>OS Vanuatu, Malampa</t>
  </si>
  <si>
    <t>South Africa, Gauteng</t>
  </si>
  <si>
    <t>Brazil, Minas Gerais (Belo Horizonte area)</t>
  </si>
  <si>
    <t>Mexico, Oaxaca</t>
  </si>
  <si>
    <t>Spain, Andalusia</t>
  </si>
  <si>
    <t>Nigeria, Kaduna</t>
  </si>
  <si>
    <t>Nigeria</t>
  </si>
  <si>
    <t>China, Xizang</t>
  </si>
  <si>
    <t>Mexico, Jalisco (Guadalajara area)</t>
  </si>
  <si>
    <t>Cyprus, Larnaca</t>
  </si>
  <si>
    <t>Cyprus</t>
  </si>
  <si>
    <t>OS Taiwan, Yilan</t>
  </si>
  <si>
    <t>CWB 6</t>
  </si>
  <si>
    <t>Japan, Ibaraki</t>
  </si>
  <si>
    <t>Ecuador, Esmeraldas (aftershock)</t>
  </si>
  <si>
    <t>Argentina, Mendoza</t>
  </si>
  <si>
    <t>Macedonia, Demir Hisar</t>
  </si>
  <si>
    <t>Bolivia, Tarija</t>
  </si>
  <si>
    <t>China, Liaoning</t>
  </si>
  <si>
    <t>Yemen, Al-Baida</t>
  </si>
  <si>
    <t>Yemen</t>
  </si>
  <si>
    <t>Iran, North Chorasan</t>
  </si>
  <si>
    <t>OS Greece, Crete</t>
  </si>
  <si>
    <t>Sierra Leone, Eastern</t>
  </si>
  <si>
    <t>Sierra Leone</t>
  </si>
  <si>
    <t>Germany, Northrhine Westphalia</t>
  </si>
  <si>
    <t>[3,3]</t>
  </si>
  <si>
    <t>India, Andhra Pradesh</t>
  </si>
  <si>
    <t>Australia, Western Australia</t>
  </si>
  <si>
    <t>Italy, Umbria</t>
  </si>
  <si>
    <t>OS Indonesia, Sumatra Barat</t>
  </si>
  <si>
    <t>Poland, Silesia</t>
  </si>
  <si>
    <t>[3,5]</t>
  </si>
  <si>
    <t>OS Indonesia, Northern Molucca</t>
  </si>
  <si>
    <t>Iran, North Chorasan (aftershock)</t>
  </si>
  <si>
    <t>OS Indonesia, East Nusa Tenggera</t>
  </si>
  <si>
    <t>Philippines, Nueva Vizcaya</t>
  </si>
  <si>
    <t>Nicaragua, Chinandega</t>
  </si>
  <si>
    <t>Turkey, Bingöl</t>
  </si>
  <si>
    <t>Guatelama, Retalhuelu</t>
  </si>
  <si>
    <t>Peru, Moquega</t>
  </si>
  <si>
    <t>Iran, West Azerbaijan</t>
  </si>
  <si>
    <t>Italy, Tuscany</t>
  </si>
  <si>
    <t>OS Indonesia, Kalimantan Barat</t>
  </si>
  <si>
    <t>Kyrgyzstan, Osh</t>
  </si>
  <si>
    <t>Nepal, Far Western</t>
  </si>
  <si>
    <t>Mexico, Nuevo Leon</t>
  </si>
  <si>
    <t>Tajikistan, Nohijahoi tobei dschumhurij</t>
  </si>
  <si>
    <t>Nepal, Far Western (aftershock)</t>
  </si>
  <si>
    <t>Costa Rica, Guanacaste</t>
  </si>
  <si>
    <t>OS South Korea, Ulsan</t>
  </si>
  <si>
    <t>Nigeria, Bayelsa</t>
  </si>
  <si>
    <t>[ ]</t>
  </si>
  <si>
    <t>Indonesia, Sumatra Barat</t>
  </si>
  <si>
    <t>Georgia, Kvemo Kartli</t>
  </si>
  <si>
    <t>Tanzania, Dodoma</t>
  </si>
  <si>
    <t>Venezuela, Trujillo</t>
  </si>
  <si>
    <t>India, Gujarat</t>
  </si>
  <si>
    <t>Pakistan, Punjab</t>
  </si>
  <si>
    <t>Austria, Tyrol</t>
  </si>
  <si>
    <t>Chile, Atacama</t>
  </si>
  <si>
    <t>Philippines, Surigao del Norte</t>
  </si>
  <si>
    <t>Philippines, Leyte</t>
  </si>
  <si>
    <t>OS USA, Marianas</t>
  </si>
  <si>
    <t>5 cm</t>
  </si>
  <si>
    <t>Italy, Piemont</t>
  </si>
  <si>
    <t>Azerbaijan, Imisli</t>
  </si>
  <si>
    <t>China, Hunan</t>
  </si>
  <si>
    <t>Ukraine, Donezk</t>
  </si>
  <si>
    <t>Ukraine</t>
  </si>
  <si>
    <t>Ecuador, Quito</t>
  </si>
  <si>
    <t>USA, California</t>
  </si>
  <si>
    <t>Brazil, Bahia</t>
  </si>
  <si>
    <t>China, Chongqing</t>
  </si>
  <si>
    <t xml:space="preserve">OS Vanuatu,   </t>
  </si>
  <si>
    <t>Brazil, Alagoas</t>
  </si>
  <si>
    <t>[4,3]</t>
  </si>
  <si>
    <t>4 - 5</t>
  </si>
  <si>
    <t>Philippines, Western Visayas</t>
  </si>
  <si>
    <t>Costa Rica, Puntaneras</t>
  </si>
  <si>
    <t>[4.0]</t>
  </si>
  <si>
    <t>Costa Rica, Puntarenas</t>
  </si>
  <si>
    <t>Venezuela, Barinas</t>
  </si>
  <si>
    <t>OS Australia, Queensland</t>
  </si>
  <si>
    <t>OS United Kingdom, South Georgia Island</t>
  </si>
  <si>
    <t>OS Peru, Arequipa</t>
  </si>
  <si>
    <t>Iran, Hormozgan</t>
  </si>
  <si>
    <t>India, Haryana</t>
  </si>
  <si>
    <t>Italy, Lazio</t>
  </si>
  <si>
    <t>Italy, Umbria (aftershock)</t>
  </si>
  <si>
    <t>Myanmar, Magwe</t>
  </si>
  <si>
    <t>Italy, Lazio (aftershock)</t>
  </si>
  <si>
    <t>Ecuador, Manabi (aftershock)</t>
  </si>
  <si>
    <t>Malaysia, Sabah (aftershock)</t>
  </si>
  <si>
    <t>India, Himachal Pradesh</t>
  </si>
  <si>
    <t>India, Odisha</t>
  </si>
  <si>
    <t>Colombia, Bucaramanga</t>
  </si>
  <si>
    <t>Central Mid Atlantic Ridge (OS Sierra Leone)</t>
  </si>
  <si>
    <t>El Salvador, Santa Ana</t>
  </si>
  <si>
    <t>Mexico, Puebla (Popocatepetl Volcano)</t>
  </si>
  <si>
    <t>Japan, Kumamoto (aftershock)</t>
  </si>
  <si>
    <t>Italy, Umbria (Aftershock)</t>
  </si>
  <si>
    <t>OS New Zealand, Gisborne</t>
  </si>
  <si>
    <t>(2.1)</t>
  </si>
  <si>
    <t>(5.8)</t>
  </si>
  <si>
    <t>Pakistan, Khyber Pakhtunkwar</t>
  </si>
  <si>
    <t>Azerbaijan, Balakan</t>
  </si>
  <si>
    <t>OS New Zealand, Marlborough</t>
  </si>
  <si>
    <t>Peru, Loreto</t>
  </si>
  <si>
    <t>6,0</t>
  </si>
  <si>
    <t>Tanzania, Kagera</t>
  </si>
  <si>
    <t>Uganda</t>
  </si>
  <si>
    <t>Canada, British Columbia</t>
  </si>
  <si>
    <t>Macedonia, Skopje</t>
  </si>
  <si>
    <t>Turkey, Manisa</t>
  </si>
  <si>
    <t>South Korea, Gyeongsangbuk-do</t>
  </si>
  <si>
    <t>Colombia, Antioquia</t>
  </si>
  <si>
    <t>Nicaragua, Leon</t>
  </si>
  <si>
    <t>South Korea, Gyeongsangbuk-do (aftershock)</t>
  </si>
  <si>
    <t>Iran, Beluchestan</t>
  </si>
  <si>
    <t>Pakistan, Sindh</t>
  </si>
  <si>
    <t>Burundi, Cibitoke</t>
  </si>
  <si>
    <t>Burundi</t>
  </si>
  <si>
    <t>Rwanda</t>
  </si>
  <si>
    <t>Romania, Vrancea</t>
  </si>
  <si>
    <t>Pakistan, Khyber Pakhtunkwa</t>
  </si>
  <si>
    <t>Iran, Kohgiluyeh Va Boyer Ahmad</t>
  </si>
  <si>
    <t>Greece, West Macedonia</t>
  </si>
  <si>
    <t>Venezuela, Zuila (Maracaibo area)</t>
  </si>
  <si>
    <t>OS Peru, Lambayeque</t>
  </si>
  <si>
    <t>China, Qinghai</t>
  </si>
  <si>
    <t>Pakistan, Beluchestan</t>
  </si>
  <si>
    <t>Iran, Kerman</t>
  </si>
  <si>
    <t>Japan, Tottori</t>
  </si>
  <si>
    <t>Russia, Krasnodar</t>
  </si>
  <si>
    <t>Switzerland, Valais</t>
  </si>
  <si>
    <t>Rwanda, Western Province</t>
  </si>
  <si>
    <t>Iran, Ravazi-Chorasan</t>
  </si>
  <si>
    <t>Italy, Marche</t>
  </si>
  <si>
    <t>OS Peru, Callao</t>
  </si>
  <si>
    <t>Colombia, Huila</t>
  </si>
  <si>
    <t>[4,5]</t>
  </si>
  <si>
    <t>Turkey, Corum</t>
  </si>
  <si>
    <t>Germany, Baden-Württemberg</t>
  </si>
  <si>
    <t>Chile, Maule</t>
  </si>
  <si>
    <t>Indonesia, Jawa Barat</t>
  </si>
  <si>
    <t>[5.0]</t>
  </si>
  <si>
    <t>Germany, Thuringia</t>
  </si>
  <si>
    <t>[1.9]</t>
  </si>
  <si>
    <t>OS Chile, Bio-Bio</t>
  </si>
  <si>
    <t>New Zealand, Canterbury</t>
  </si>
  <si>
    <t>4,1 m</t>
  </si>
  <si>
    <t>[2,5]</t>
  </si>
  <si>
    <t>OS Indonesia, Jawa Timur</t>
  </si>
  <si>
    <t>Brazil, Sergipe</t>
  </si>
  <si>
    <t>Argentina, San Juan</t>
  </si>
  <si>
    <t>OS Japan, Fukushima</t>
  </si>
  <si>
    <t>140 cm</t>
  </si>
  <si>
    <t>New Zealand, Canterbury (aftershock)</t>
  </si>
  <si>
    <t>Russia, Buryatia</t>
  </si>
  <si>
    <t xml:space="preserve">V  </t>
  </si>
  <si>
    <t>OS El Salvador, Usulutan</t>
  </si>
  <si>
    <t xml:space="preserve">-- </t>
  </si>
  <si>
    <t>8 cm</t>
  </si>
  <si>
    <t>Nepal, Eastern (aftershock)</t>
  </si>
  <si>
    <t>Costa Rica, Cartago</t>
  </si>
  <si>
    <t>India, Uttarakhand</t>
  </si>
  <si>
    <t>Peru, Puno</t>
  </si>
  <si>
    <t>Malawi, Nsanje</t>
  </si>
  <si>
    <t>OS Trinidad and Tobago</t>
  </si>
  <si>
    <t>Indonesia, Aceh</t>
  </si>
  <si>
    <t>OS Solomon Islands, Makita</t>
  </si>
  <si>
    <t>Solomon Islands</t>
  </si>
  <si>
    <t>1 m</t>
  </si>
  <si>
    <t>Indonesia, Aceh (aftershock)</t>
  </si>
  <si>
    <t>Italia, Emilia-Romagna</t>
  </si>
  <si>
    <t>Croatia, Split</t>
  </si>
  <si>
    <t>OS Solomon Islands, Makita (aftershock)</t>
  </si>
  <si>
    <t>Russia, Amur</t>
  </si>
  <si>
    <t>OS Ecuador, Esmeraldas (aftershock)</t>
  </si>
  <si>
    <t>Azerbaijan, Quba</t>
  </si>
  <si>
    <t>Guinea, Labé</t>
  </si>
  <si>
    <t>Peru, Puno (aftershock)</t>
  </si>
  <si>
    <t>OS Taiwan, Taitung</t>
  </si>
  <si>
    <t>Turkey, Erzincan</t>
  </si>
  <si>
    <t>OS Papua New Guinea, New Ireland</t>
  </si>
  <si>
    <t>130 cm</t>
  </si>
  <si>
    <t>Pakistan, Azad Kashmir</t>
  </si>
  <si>
    <t>Germany, Rhineland-Palatine</t>
  </si>
  <si>
    <t>Netherlands, Drenthe</t>
  </si>
  <si>
    <t>[2.4]</t>
  </si>
  <si>
    <t>OS Chile, Los Lagos</t>
  </si>
  <si>
    <t>Iran, Semnan</t>
  </si>
  <si>
    <t>USA, Nevada</t>
  </si>
  <si>
    <t>Tsunami Height</t>
  </si>
  <si>
    <t>[3,7]</t>
  </si>
  <si>
    <t>[3,6]</t>
  </si>
  <si>
    <t>Russia, Sakhalin</t>
  </si>
  <si>
    <t>Turkey, Van</t>
  </si>
  <si>
    <t>Italy, Venetia</t>
  </si>
  <si>
    <t>Peru, Cuzco</t>
  </si>
  <si>
    <t>Brazil, Pernambucu</t>
  </si>
  <si>
    <t>JMA 5+</t>
  </si>
  <si>
    <t>Indonesia, Kepulauan Riau</t>
  </si>
  <si>
    <t>[3.9]</t>
  </si>
  <si>
    <t>CWB 5</t>
  </si>
  <si>
    <t>Canada, British Colombia</t>
  </si>
  <si>
    <t>Iran, Ilam</t>
  </si>
  <si>
    <t>Australia, Queensland</t>
  </si>
  <si>
    <t>Turkey, Antalya</t>
  </si>
  <si>
    <t>OS Japan, Iwate</t>
  </si>
  <si>
    <t>JMA 4</t>
  </si>
  <si>
    <t>Bosnia-Herzegowina, Tuzla</t>
  </si>
  <si>
    <t xml:space="preserve">2 - 3 </t>
  </si>
  <si>
    <t>Colombia, Cauca</t>
  </si>
  <si>
    <t>Spain, Castile - La Mancha</t>
  </si>
  <si>
    <t>India, Karnataka</t>
  </si>
  <si>
    <t>Iran, Chaharmahal Bakhtiari</t>
  </si>
  <si>
    <t>[2,3]</t>
  </si>
  <si>
    <t>Pakistan, Khyber Pakhtunkhwa</t>
  </si>
  <si>
    <t>Indonesia, Nusa Tenggara Timur</t>
  </si>
  <si>
    <t>Peru, Arequipa (Sabancaya volcano)</t>
  </si>
  <si>
    <t>China, Yunnan (aftershock)</t>
  </si>
  <si>
    <t>Morocco, Oriental</t>
  </si>
  <si>
    <t>Serbia, Central Serbia</t>
  </si>
  <si>
    <t>Germany, Hesse</t>
  </si>
  <si>
    <t>USA, Virginia</t>
  </si>
  <si>
    <t>OS Indonesia, Sulawesi Tengah</t>
  </si>
  <si>
    <t>Venezuela, Táchira</t>
  </si>
  <si>
    <t>OS Peru. Arequipa</t>
  </si>
  <si>
    <t>Algeria, Batna</t>
  </si>
  <si>
    <t>50 cm</t>
  </si>
  <si>
    <t>5 +</t>
  </si>
  <si>
    <t>not felt</t>
  </si>
  <si>
    <t>[4,0]</t>
  </si>
  <si>
    <t>OS Indonesia, Sumatra Utara</t>
  </si>
  <si>
    <t>Indonesia, Bengkulu</t>
  </si>
  <si>
    <t>May 2015</t>
  </si>
  <si>
    <t>Fiji, Eastern Division</t>
  </si>
  <si>
    <t>OS China, Shandong</t>
  </si>
  <si>
    <t>Iran, Lorestan</t>
  </si>
  <si>
    <t>England, Kent</t>
  </si>
  <si>
    <t>Japan, Saitama</t>
  </si>
  <si>
    <t>JMA 5 -</t>
  </si>
  <si>
    <t>[2,0]</t>
  </si>
  <si>
    <t>Czech Republic, Moravian-Silesian Region</t>
  </si>
  <si>
    <t>[3,1]</t>
  </si>
  <si>
    <t>OS Japan, Kanagawa</t>
  </si>
  <si>
    <t>Iran, Bushehr</t>
  </si>
  <si>
    <t>New Zealand, Otago</t>
  </si>
  <si>
    <t>Greece, Kefalonia</t>
  </si>
  <si>
    <t>Argentina, La Rioja</t>
  </si>
  <si>
    <t>[3,0]</t>
  </si>
  <si>
    <t>Indonesia, Java Timur</t>
  </si>
  <si>
    <t>Egypt, South Sinai</t>
  </si>
  <si>
    <t>India, Assam</t>
  </si>
  <si>
    <t>Peru, Huancavelica</t>
  </si>
  <si>
    <t>OS Solomon Islands, Makira</t>
  </si>
  <si>
    <t>OS Philippines, Caraga</t>
  </si>
  <si>
    <t>Japan, Iwate</t>
  </si>
  <si>
    <t>OS Solomon Islands, Western Province</t>
  </si>
  <si>
    <t>India, Telangana</t>
  </si>
  <si>
    <t>Japan, Oita</t>
  </si>
  <si>
    <t>Thailand, Kanchanaburi</t>
  </si>
  <si>
    <t>[4,4]</t>
  </si>
  <si>
    <t>OS USA, Alaska</t>
  </si>
  <si>
    <t>Pakistan, Balochistan</t>
  </si>
  <si>
    <t>DR Congo, South Kivu</t>
  </si>
  <si>
    <t>Benin, Littoral</t>
  </si>
  <si>
    <t>El Salvador, Usulutan</t>
  </si>
  <si>
    <t>Afghanistan, Badakhshan</t>
  </si>
  <si>
    <t>Iran, Golestan</t>
  </si>
  <si>
    <t>Brazil, Santa Catarina</t>
  </si>
  <si>
    <t>USA, California (San Francisco area)</t>
  </si>
  <si>
    <t>Indonesia, Maluku</t>
  </si>
  <si>
    <t>Colombia, Quindio (Armenia area)</t>
  </si>
  <si>
    <t>Chile, Coquimbo</t>
  </si>
  <si>
    <t>Iran, Tehran</t>
  </si>
  <si>
    <t>Azerbaijan, Oghuz</t>
  </si>
  <si>
    <t>Argentina, Salta</t>
  </si>
  <si>
    <t>Japan, Tokyo</t>
  </si>
  <si>
    <t>China, Hebei</t>
  </si>
  <si>
    <t>Croatia, Zagreb</t>
  </si>
  <si>
    <t>4,75 m</t>
  </si>
  <si>
    <t>[4,1]</t>
  </si>
  <si>
    <t>15 cm</t>
  </si>
  <si>
    <t>[4,7]</t>
  </si>
  <si>
    <t>Indonesia, North Molukka</t>
  </si>
  <si>
    <t>Kyrgyzstan, Naryn</t>
  </si>
  <si>
    <t>Italy, Sizily (Etna)</t>
  </si>
  <si>
    <t>OS Indonesia, Maluku</t>
  </si>
  <si>
    <t>Turkey, Malatya</t>
  </si>
  <si>
    <t>India, Jharkhand</t>
  </si>
  <si>
    <t xml:space="preserve">Mexico, Chiapas </t>
  </si>
  <si>
    <t>Indonesia, Kalimantan Utara</t>
  </si>
  <si>
    <t>South Korea, Jeollabuk-Do</t>
  </si>
  <si>
    <t>Bolivia, Santa Cruz</t>
  </si>
  <si>
    <t>Germany, North Rhine Westfalia</t>
  </si>
  <si>
    <t>Vietnam, Thua Thien Hue</t>
  </si>
  <si>
    <t>[4]</t>
  </si>
  <si>
    <t>Colombia, Cauca (Puracé volcano)</t>
  </si>
  <si>
    <t>New Zealand, Manawatu-Wanganui</t>
  </si>
  <si>
    <t>USA, Texas</t>
  </si>
  <si>
    <t xml:space="preserve">2: Some houses damaged, mainly minor damage </t>
  </si>
  <si>
    <t>India, Maharashtra</t>
  </si>
  <si>
    <t>USA, Pennsylvania</t>
  </si>
  <si>
    <t>4 - 5: Many hundreds houses collapsed</t>
  </si>
  <si>
    <t>Turkey, Balikesir</t>
  </si>
  <si>
    <t>Thailand, Surat Thani</t>
  </si>
  <si>
    <t xml:space="preserve">OS: offshore </t>
  </si>
  <si>
    <t xml:space="preserve">[]: human-made / non-tectonic earthquakes </t>
  </si>
  <si>
    <t>gray: Preliminary data</t>
  </si>
  <si>
    <t>follow. days</t>
  </si>
  <si>
    <t>Greece, Cephalonia (aftershocks)</t>
  </si>
  <si>
    <t>&lt; 5,1</t>
  </si>
  <si>
    <t>[9]</t>
  </si>
  <si>
    <t>Turkey, Akdeniz</t>
  </si>
  <si>
    <t>Indonesia, Java</t>
  </si>
  <si>
    <t>[3,8]</t>
  </si>
  <si>
    <t>[4,6]</t>
  </si>
  <si>
    <t>03/2014</t>
  </si>
  <si>
    <t>[&gt; 4,2]</t>
  </si>
  <si>
    <t>OS Greece, Cephalonia (aftershock)</t>
  </si>
  <si>
    <t>Slovenia</t>
  </si>
  <si>
    <t>&lt; 3,8</t>
  </si>
  <si>
    <t>32 cm</t>
  </si>
  <si>
    <t xml:space="preserve"> 1 - 2</t>
  </si>
  <si>
    <t>2,11 m</t>
  </si>
  <si>
    <t>OS Chile, Tarapaca</t>
  </si>
  <si>
    <t>74 cm</t>
  </si>
  <si>
    <t>23 cm</t>
  </si>
  <si>
    <t>few</t>
  </si>
  <si>
    <t>1 m?</t>
  </si>
  <si>
    <t>China, Guangdong</t>
  </si>
  <si>
    <t>[3.8]</t>
  </si>
  <si>
    <t>05/2014</t>
  </si>
  <si>
    <t>Thailand, Chiang Rai (aftershocks)</t>
  </si>
  <si>
    <t>&lt; 5,6</t>
  </si>
  <si>
    <t>&lt; 4,3</t>
  </si>
  <si>
    <t>Peru, La Libertad</t>
  </si>
  <si>
    <t>Albania, Cerrik (aftershock)</t>
  </si>
  <si>
    <t>Peru, Piura</t>
  </si>
  <si>
    <t>Peru, Ica</t>
  </si>
  <si>
    <t>Peru, Arequipa</t>
  </si>
  <si>
    <t>[4.2]</t>
  </si>
  <si>
    <t>&lt; 3.8</t>
  </si>
  <si>
    <t>Thailand, Chiang Rai (aftershock)</t>
  </si>
  <si>
    <t>[3.6]</t>
  </si>
  <si>
    <t>Ghana (Accra Area)</t>
  </si>
  <si>
    <t>OS Colombia, Cauca</t>
  </si>
  <si>
    <t>08/2014</t>
  </si>
  <si>
    <t>5,6 - 6,1</t>
  </si>
  <si>
    <t>10 - 12</t>
  </si>
  <si>
    <t>[2,6]</t>
  </si>
  <si>
    <t>Bosnia-Herzegowina (Zenica area)</t>
  </si>
  <si>
    <t>[2,8]</t>
  </si>
  <si>
    <t>47 cm</t>
  </si>
  <si>
    <t>[2.9]</t>
  </si>
  <si>
    <t>OS Greece</t>
  </si>
  <si>
    <t>[3]</t>
  </si>
  <si>
    <t>Germany, North Rhine-Westphalia</t>
  </si>
  <si>
    <t>11 - 12 / 2014</t>
  </si>
  <si>
    <t>OS Russia, Sakhalin</t>
  </si>
  <si>
    <t>China, Yunnan (Kunming area)</t>
  </si>
  <si>
    <t>Brazil, Sao Paulo</t>
  </si>
  <si>
    <t>Region / Epicenter</t>
  </si>
  <si>
    <t>injuries</t>
  </si>
  <si>
    <t>OS Turkey (Aegean Sea)</t>
  </si>
  <si>
    <t>3 - 4: Dozends of houses collapsed</t>
  </si>
  <si>
    <t>Iran, Chahar Mahal Va Bakhtiari</t>
  </si>
  <si>
    <t>Iran, North Khorasan</t>
  </si>
  <si>
    <t>Indonesia, Sumatra</t>
  </si>
  <si>
    <t>Italy, Emilia-Romagna</t>
  </si>
  <si>
    <t>Japan, Honshu</t>
  </si>
  <si>
    <t>Japan, Hokkaido</t>
  </si>
  <si>
    <t>Bosnia-Herzegovina</t>
  </si>
  <si>
    <t>Iran, Khuzestan</t>
  </si>
  <si>
    <t>Participation: James Daniell, Armand Vervaeck, Carlos Robles</t>
  </si>
  <si>
    <t>OS Solomon Islands</t>
  </si>
  <si>
    <t>3 m</t>
  </si>
  <si>
    <t>Spain, Andalucia</t>
  </si>
  <si>
    <t>India, West Bengal</t>
  </si>
  <si>
    <t>OS Indonesia, Sumatra</t>
  </si>
  <si>
    <t>OS Solomon Islands (aftershock)</t>
  </si>
  <si>
    <t>North Korea</t>
  </si>
  <si>
    <t>Spain, Valencia</t>
  </si>
  <si>
    <t>Australia, South Australia</t>
  </si>
  <si>
    <t>OS Vanuatu</t>
  </si>
  <si>
    <t>&lt; 4,1</t>
  </si>
  <si>
    <t>~5</t>
  </si>
  <si>
    <t>China, Heilongjiang</t>
  </si>
  <si>
    <t>New Zealand, Auckland</t>
  </si>
  <si>
    <t>Iran, Mazzandoran</t>
  </si>
  <si>
    <t>Taiwan, Nantou</t>
  </si>
  <si>
    <t>Brazil, Ceará</t>
  </si>
  <si>
    <t>03/2013</t>
  </si>
  <si>
    <t>Spain, Canary Islands</t>
  </si>
  <si>
    <t>&lt; 4,7</t>
  </si>
  <si>
    <t>China, Nei Mongol</t>
  </si>
  <si>
    <t>Mexico, Guerrero</t>
  </si>
  <si>
    <t>Indonesia, Papua</t>
  </si>
  <si>
    <t>Egypt</t>
  </si>
  <si>
    <t>Peru, Lambayeque</t>
  </si>
  <si>
    <t>China, Fujian</t>
  </si>
  <si>
    <t xml:space="preserve"> Iran, Sistan va Balushestan</t>
  </si>
  <si>
    <t>Russia, Dagestan</t>
  </si>
  <si>
    <t>OS Japan, Izu-Islands</t>
  </si>
  <si>
    <t>OS Japan, Honshu</t>
  </si>
  <si>
    <t>Russia, Kuriles</t>
  </si>
  <si>
    <t>Mexico, Michoacan</t>
  </si>
  <si>
    <t>Iran, Esfahan</t>
  </si>
  <si>
    <t xml:space="preserve">Afghanistan  </t>
  </si>
  <si>
    <t>Russia, Tuwa</t>
  </si>
  <si>
    <t>Portugal, Azores (France)</t>
  </si>
  <si>
    <t>India, Kashmir</t>
  </si>
  <si>
    <t>Australia, Victoria</t>
  </si>
  <si>
    <t>Algeria, Mostaganem</t>
  </si>
  <si>
    <t>India, Kashmir (aftershock)</t>
  </si>
  <si>
    <t>Libya</t>
  </si>
  <si>
    <t>Scotland</t>
  </si>
  <si>
    <t>OS Algeria, Bejaia</t>
  </si>
  <si>
    <t>Peru, Apurimac</t>
  </si>
  <si>
    <t>OS Russia, Kamtchatka</t>
  </si>
  <si>
    <t>Uzbekistan, Tashkent</t>
  </si>
  <si>
    <t>some</t>
  </si>
  <si>
    <t>Uzbekistan, Samarkand</t>
  </si>
  <si>
    <t>USA. California</t>
  </si>
  <si>
    <t>Canada, Quebec</t>
  </si>
  <si>
    <t>Philippines, Mindanao</t>
  </si>
  <si>
    <t>Australia, Northern Territory</t>
  </si>
  <si>
    <t>OS Indonesia, Java</t>
  </si>
  <si>
    <t>OS Nicaragua</t>
  </si>
  <si>
    <t>Mexico, Morelos</t>
  </si>
  <si>
    <t>3 cm</t>
  </si>
  <si>
    <t>06/2013</t>
  </si>
  <si>
    <t>&lt; 3,0</t>
  </si>
  <si>
    <t>Russia, Kemerovo</t>
  </si>
  <si>
    <t>Italy, Tuscany (aftershock)</t>
  </si>
  <si>
    <t>Indonesia, Sumatra (Aftershock)</t>
  </si>
  <si>
    <t xml:space="preserve"> OS Indonesia, Java</t>
  </si>
  <si>
    <t>..</t>
  </si>
  <si>
    <t>OS Italy, Marche</t>
  </si>
  <si>
    <t>OS New Zealand, Wellington</t>
  </si>
  <si>
    <t>7 cm</t>
  </si>
  <si>
    <t>China, Gansu (aftershock)</t>
  </si>
  <si>
    <t>&lt; 4,0</t>
  </si>
  <si>
    <t>OS New Zealand, Marlborough (aftershock)</t>
  </si>
  <si>
    <t>OS Turkey, Aegean Sea</t>
  </si>
  <si>
    <t>OS Japan Honshu</t>
  </si>
  <si>
    <t>Brazil, Para</t>
  </si>
  <si>
    <t>New Zealand, Marlborough (aftershocks)</t>
  </si>
  <si>
    <t>Mexico, Guerrero (aftershock)</t>
  </si>
  <si>
    <t>China, Yunnan (afterhock)</t>
  </si>
  <si>
    <t>Mexico, Chihuahua</t>
  </si>
  <si>
    <t>China, Yunnan (aftershocks)</t>
  </si>
  <si>
    <t>&lt; 4,5</t>
  </si>
  <si>
    <t>OS Mexico, Veracruz</t>
  </si>
  <si>
    <t>OS New Zealand, Wellington (aftershock)</t>
  </si>
  <si>
    <t>Romania, Hunedoara</t>
  </si>
  <si>
    <t>JMA5+</t>
  </si>
  <si>
    <t>[5,4]</t>
  </si>
  <si>
    <t>USA, Wyoming</t>
  </si>
  <si>
    <t>China, Hubei</t>
  </si>
  <si>
    <t>26 cm</t>
  </si>
  <si>
    <t>Romania, Galati</t>
  </si>
  <si>
    <t>Pakistan (aftershock)</t>
  </si>
  <si>
    <t>10/2013</t>
  </si>
  <si>
    <t>India, Sikkim</t>
  </si>
  <si>
    <t>Iran, South Khorasan</t>
  </si>
  <si>
    <t>Iran, Kohkiluyeh va Boyer Ahmad</t>
  </si>
  <si>
    <t>OS Venezuela</t>
  </si>
  <si>
    <t>2,5 cm</t>
  </si>
  <si>
    <t>Indonesia, Sulawesi</t>
  </si>
  <si>
    <t>Philippines, Bohol</t>
  </si>
  <si>
    <t>Philippines, Bohol / Cebu (aftershocks)</t>
  </si>
  <si>
    <t>&lt; 5,5</t>
  </si>
  <si>
    <t>&lt; VI</t>
  </si>
  <si>
    <t>Iran, Markazi</t>
  </si>
  <si>
    <t>Indonesia, Sulawesi (aftershock)</t>
  </si>
  <si>
    <t>OS Mexico, Sinaloa</t>
  </si>
  <si>
    <t>&lt; 3,6</t>
  </si>
  <si>
    <t>Tunisia (aftershock)</t>
  </si>
  <si>
    <t>Brazil, Rio Grande do Norte</t>
  </si>
  <si>
    <t>&lt; 3,7</t>
  </si>
  <si>
    <t>Paraguay</t>
  </si>
  <si>
    <t>55 cm</t>
  </si>
  <si>
    <t>India, Tamil Nadu</t>
  </si>
  <si>
    <t>OS Indonesia, East Nusa Tenggara</t>
  </si>
  <si>
    <t>Australia, West Australia</t>
  </si>
  <si>
    <t>China, Jilin</t>
  </si>
  <si>
    <t>OS Chile Coquimbo</t>
  </si>
  <si>
    <t>China, Jilin (aftershock)</t>
  </si>
  <si>
    <t>India, New Delhi</t>
  </si>
  <si>
    <t>&lt; 3,4</t>
  </si>
  <si>
    <t>OS Orkney Islands</t>
  </si>
  <si>
    <t>Kosovo</t>
  </si>
  <si>
    <t>New Zealand, Christchurch</t>
  </si>
  <si>
    <t>USA, Ohio</t>
  </si>
  <si>
    <t>Italy, Lombardy</t>
  </si>
  <si>
    <t>Iran, Kermanshah</t>
  </si>
  <si>
    <t>OS Falkland Islands</t>
  </si>
  <si>
    <t>Peru, Lima</t>
  </si>
  <si>
    <t>OS Philippines, Mindanao</t>
  </si>
  <si>
    <t>Indonesia, Halmahera</t>
  </si>
  <si>
    <t>New Zealand, West Coast</t>
  </si>
  <si>
    <t>Liechtenstein</t>
  </si>
  <si>
    <t>OS El Salvador</t>
  </si>
  <si>
    <t>Mexico, Baja California</t>
  </si>
  <si>
    <t>Russia, Khakassia</t>
  </si>
  <si>
    <t>OS Spain, Canary Islands</t>
  </si>
  <si>
    <t>OS Turkey</t>
  </si>
  <si>
    <t>Italy, Campania</t>
  </si>
  <si>
    <t>Earthquake data and earthquake effects of this quakes are only basing on the happenings of 2013, although the earthquake activity might have started years earlier. This table only includes earthquake swarms, natural or man-made, which continued for at least 6 months and caused damage in the whole time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</si>
</sst>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dd\.mm\.yyyy"/>
    <numFmt numFmtId="165" formatCode="0.000"/>
    <numFmt numFmtId="166" formatCode="d\.m"/>
    <numFmt numFmtId="167" formatCode="0.0000"/>
    <numFmt numFmtId="168" formatCode="dd\.mm"/>
    <numFmt numFmtId="169" formatCode="0.0"/>
    <numFmt numFmtId="170" formatCode="d\.m\.yyyy"/>
    <numFmt numFmtId="173" formatCode="&quot;.&quot;mm&quot;.&quot;yyyy"/>
    <numFmt numFmtId="174" formatCode="#,##0.0"/>
  </numFmts>
  <fonts count="57">
    <font>
      <sz val="11"/>
      <color theme="1"/>
      <name val="Calibri"/>
      <family val="2"/>
      <scheme val="minor"/>
    </font>
    <font>
      <sz val="10"/>
      <color rgb="FF000000"/>
      <name val="Arial"/>
    </font>
    <font>
      <sz val="10"/>
      <color theme="1"/>
      <name val="Arial"/>
    </font>
    <font>
      <b/>
      <sz val="10"/>
      <color rgb="FF000000"/>
      <name val="Arial"/>
    </font>
    <font>
      <b/>
      <sz val="10"/>
      <color rgb="FFFF0000"/>
      <name val="Arial"/>
    </font>
    <font>
      <b/>
      <sz val="10"/>
      <color rgb="FFFF9900"/>
      <name val="Arial"/>
    </font>
    <font>
      <b/>
      <sz val="10"/>
      <color theme="1"/>
      <name val="Arial"/>
    </font>
    <font>
      <b/>
      <i/>
      <sz val="10"/>
      <color theme="1"/>
      <name val="Arial"/>
    </font>
    <font>
      <b/>
      <i/>
      <sz val="10"/>
      <color rgb="FFFF9900"/>
      <name val="Arial"/>
    </font>
    <font>
      <sz val="10"/>
      <name val="Arial"/>
    </font>
    <font>
      <b/>
      <i/>
      <sz val="10"/>
      <color rgb="FFFF0000"/>
      <name val="Arial"/>
    </font>
    <font>
      <i/>
      <sz val="10"/>
      <color theme="1"/>
      <name val="Arial"/>
    </font>
    <font>
      <b/>
      <i/>
      <sz val="10"/>
      <color rgb="FF000000"/>
      <name val="Arial"/>
    </font>
    <font>
      <i/>
      <sz val="10"/>
      <color rgb="FF000000"/>
      <name val="Arial"/>
    </font>
    <font>
      <b/>
      <sz val="10"/>
      <name val="Arial"/>
    </font>
    <font>
      <b/>
      <i/>
      <sz val="10"/>
      <name val="Arial"/>
    </font>
    <font>
      <sz val="10"/>
      <color rgb="FF333333"/>
      <name val="Arial"/>
    </font>
    <font>
      <sz val="10"/>
      <color rgb="FF0000FF"/>
      <name val="Arial"/>
    </font>
    <font>
      <i/>
      <sz val="10"/>
      <name val="Arial"/>
    </font>
    <font>
      <i/>
      <sz val="10"/>
      <color rgb="FF999999"/>
      <name val="Arial"/>
    </font>
    <font>
      <b/>
      <i/>
      <sz val="8"/>
      <color rgb="FFFF0000"/>
      <name val="Arial"/>
    </font>
    <font>
      <b/>
      <sz val="12"/>
      <color rgb="FFFF0000"/>
      <name val="Arial"/>
    </font>
    <font>
      <b/>
      <u/>
      <sz val="10"/>
      <color rgb="FF0000FF"/>
      <name val="Arial"/>
    </font>
    <font>
      <u/>
      <sz val="10"/>
      <color rgb="FF0000FF"/>
      <name val="Arial"/>
    </font>
    <font>
      <b/>
      <sz val="10"/>
      <color rgb="FF0000FF"/>
      <name val="Arial"/>
    </font>
    <font>
      <b/>
      <u/>
      <sz val="10"/>
      <color rgb="FFFF0000"/>
      <name val="Arial"/>
    </font>
    <font>
      <b/>
      <strike/>
      <sz val="10"/>
      <color rgb="FF666666"/>
      <name val="Arial"/>
    </font>
    <font>
      <strike/>
      <sz val="10"/>
      <color rgb="FF666666"/>
      <name val="Arial"/>
    </font>
    <font>
      <b/>
      <sz val="10"/>
      <color rgb="FFFF0000"/>
      <name val="Arial"/>
      <family val="2"/>
    </font>
    <font>
      <sz val="10"/>
      <name val="Arial"/>
      <family val="2"/>
    </font>
    <font>
      <b/>
      <sz val="10"/>
      <color rgb="FF000000"/>
      <name val="Arial"/>
      <family val="2"/>
    </font>
    <font>
      <sz val="10"/>
      <color rgb="FF000000"/>
      <name val="Arial"/>
      <family val="2"/>
    </font>
    <font>
      <b/>
      <sz val="10"/>
      <color rgb="FFFF9900"/>
      <name val="Arial"/>
      <family val="2"/>
    </font>
    <font>
      <b/>
      <sz val="8"/>
      <color rgb="FFFF0000"/>
      <name val="Arial"/>
      <family val="2"/>
    </font>
    <font>
      <sz val="10"/>
      <color rgb="FFFF0000"/>
      <name val="Arial"/>
      <family val="2"/>
    </font>
    <font>
      <sz val="8"/>
      <color rgb="FF000000"/>
      <name val="Arial"/>
      <family val="2"/>
    </font>
    <font>
      <sz val="10"/>
      <color rgb="FFFF9900"/>
      <name val="Arial"/>
      <family val="2"/>
    </font>
    <font>
      <b/>
      <sz val="10"/>
      <color rgb="FFFF0000"/>
      <name val="Sans-serif"/>
    </font>
    <font>
      <b/>
      <sz val="10"/>
      <name val="Arial"/>
      <family val="2"/>
    </font>
    <font>
      <sz val="8"/>
      <color rgb="FFFF0000"/>
      <name val="Arial"/>
      <family val="2"/>
    </font>
    <font>
      <sz val="8"/>
      <name val="Arial"/>
      <family val="2"/>
    </font>
    <font>
      <b/>
      <u/>
      <sz val="8"/>
      <color rgb="FF0000FF"/>
      <name val="Arial"/>
      <family val="2"/>
    </font>
    <font>
      <b/>
      <sz val="8"/>
      <name val="Arial"/>
      <family val="2"/>
    </font>
    <font>
      <i/>
      <sz val="10"/>
      <name val="Arial"/>
      <family val="2"/>
    </font>
    <font>
      <i/>
      <sz val="10"/>
      <color rgb="FFFF0000"/>
      <name val="Arial"/>
      <family val="2"/>
    </font>
    <font>
      <i/>
      <sz val="10"/>
      <color rgb="FFFF9900"/>
      <name val="Arial"/>
      <family val="2"/>
    </font>
    <font>
      <i/>
      <sz val="10"/>
      <color rgb="FF000000"/>
      <name val="Arial"/>
      <family val="2"/>
    </font>
    <font>
      <u/>
      <sz val="10"/>
      <color rgb="FF0000FF"/>
      <name val="Arial"/>
      <family val="2"/>
    </font>
    <font>
      <u/>
      <sz val="10"/>
      <color rgb="FF000000"/>
      <name val="Arial"/>
      <family val="2"/>
    </font>
    <font>
      <b/>
      <u/>
      <sz val="10"/>
      <color rgb="FF000000"/>
      <name val="Arial"/>
      <family val="2"/>
    </font>
    <font>
      <b/>
      <sz val="10"/>
      <color rgb="FF666666"/>
      <name val="Arial"/>
      <family val="2"/>
    </font>
    <font>
      <b/>
      <u/>
      <sz val="10"/>
      <color rgb="FFFF0000"/>
      <name val="Arial"/>
      <family val="2"/>
    </font>
    <font>
      <b/>
      <u/>
      <sz val="10"/>
      <color rgb="FF0000FF"/>
      <name val="Arial"/>
      <family val="2"/>
    </font>
    <font>
      <sz val="9"/>
      <name val="Arial"/>
      <family val="2"/>
    </font>
    <font>
      <sz val="9"/>
      <color rgb="FFFF0000"/>
      <name val="Arial"/>
      <family val="2"/>
    </font>
    <font>
      <sz val="9"/>
      <color rgb="FFFF9900"/>
      <name val="Arial"/>
      <family val="2"/>
    </font>
    <font>
      <sz val="10"/>
      <color rgb="FF666666"/>
      <name val="Arial"/>
      <family val="2"/>
    </font>
  </fonts>
  <fills count="13">
    <fill>
      <patternFill patternType="none"/>
    </fill>
    <fill>
      <patternFill patternType="gray125"/>
    </fill>
    <fill>
      <patternFill patternType="solid">
        <fgColor rgb="FFEFEFEF"/>
        <bgColor rgb="FFEFEFEF"/>
      </patternFill>
    </fill>
    <fill>
      <patternFill patternType="solid">
        <fgColor rgb="FFF9CB9C"/>
        <bgColor rgb="FFF9CB9C"/>
      </patternFill>
    </fill>
    <fill>
      <patternFill patternType="solid">
        <fgColor rgb="FFFFF2CC"/>
        <bgColor rgb="FFFFF2CC"/>
      </patternFill>
    </fill>
    <fill>
      <patternFill patternType="solid">
        <fgColor rgb="FFD9D9D9"/>
        <bgColor rgb="FFD9D9D9"/>
      </patternFill>
    </fill>
    <fill>
      <patternFill patternType="solid">
        <fgColor rgb="FF4A86E8"/>
        <bgColor rgb="FF4A86E8"/>
      </patternFill>
    </fill>
    <fill>
      <patternFill patternType="solid">
        <fgColor rgb="FFFFFFFF"/>
        <bgColor rgb="FFFFFFFF"/>
      </patternFill>
    </fill>
    <fill>
      <patternFill patternType="solid">
        <fgColor rgb="FFF2F2F2"/>
        <bgColor rgb="FFF2F2F2"/>
      </patternFill>
    </fill>
    <fill>
      <patternFill patternType="solid">
        <fgColor rgb="FFF3F3F3"/>
        <bgColor rgb="FFF3F3F3"/>
      </patternFill>
    </fill>
    <fill>
      <patternFill patternType="solid">
        <fgColor rgb="FFA4C2F4"/>
        <bgColor rgb="FFA4C2F4"/>
      </patternFill>
    </fill>
    <fill>
      <patternFill patternType="solid">
        <fgColor rgb="FFCCCCCC"/>
        <bgColor rgb="FFCCCCCC"/>
      </patternFill>
    </fill>
    <fill>
      <patternFill patternType="solid">
        <fgColor rgb="FF9FC5E8"/>
        <bgColor rgb="FF9FC5E8"/>
      </patternFill>
    </fill>
  </fills>
  <borders count="19">
    <border>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dotted">
        <color rgb="FF000000"/>
      </left>
      <right style="dotted">
        <color rgb="FF000000"/>
      </right>
      <top style="dotted">
        <color rgb="FF000000"/>
      </top>
      <bottom/>
      <diagonal/>
    </border>
    <border>
      <left style="dotted">
        <color rgb="FF000000"/>
      </left>
      <right/>
      <top/>
      <bottom/>
      <diagonal/>
    </border>
    <border>
      <left style="dotted">
        <color rgb="FF000000"/>
      </left>
      <right style="dotted">
        <color rgb="FF000000"/>
      </right>
      <top/>
      <bottom/>
      <diagonal/>
    </border>
    <border>
      <left style="dotted">
        <color rgb="FF000000"/>
      </left>
      <right style="thin">
        <color rgb="FFD9D9D9"/>
      </right>
      <top/>
      <bottom style="thin">
        <color rgb="FFD9D9D9"/>
      </bottom>
      <diagonal/>
    </border>
    <border>
      <left style="thin">
        <color rgb="FFD9D9D9"/>
      </left>
      <right style="thin">
        <color rgb="FFD9D9D9"/>
      </right>
      <top/>
      <bottom style="thin">
        <color rgb="FFD9D9D9"/>
      </bottom>
      <diagonal/>
    </border>
    <border>
      <left style="dotted">
        <color rgb="FF000000"/>
      </left>
      <right style="thin">
        <color rgb="FFD9D9D9"/>
      </right>
      <top style="thin">
        <color rgb="FFD9D9D9"/>
      </top>
      <bottom style="thin">
        <color rgb="FFD9D9D9"/>
      </bottom>
      <diagonal/>
    </border>
    <border>
      <left style="thin">
        <color rgb="FFD9D9D9"/>
      </left>
      <right style="thin">
        <color rgb="FFD9D9D9"/>
      </right>
      <top style="thin">
        <color rgb="FFD9D9D9"/>
      </top>
      <bottom style="thin">
        <color rgb="FFD9D9D9"/>
      </bottom>
      <diagonal/>
    </border>
    <border>
      <left style="thin">
        <color rgb="FFD9D9D9"/>
      </left>
      <right style="thin">
        <color rgb="FFD9D9D9"/>
      </right>
      <top style="thin">
        <color rgb="FFD9D9D9"/>
      </top>
      <bottom/>
      <diagonal/>
    </border>
    <border>
      <left style="dotted">
        <color rgb="FF000000"/>
      </left>
      <right style="thin">
        <color rgb="FFD9D9D9"/>
      </right>
      <top style="thin">
        <color rgb="FFD9D9D9"/>
      </top>
      <bottom/>
      <diagonal/>
    </border>
    <border>
      <left style="dotted">
        <color rgb="FF000000"/>
      </left>
      <right style="thin">
        <color rgb="FFD9D9D9"/>
      </right>
      <top/>
      <bottom/>
      <diagonal/>
    </border>
    <border>
      <left style="thin">
        <color rgb="FFD9D9D9"/>
      </left>
      <right style="thin">
        <color rgb="FFD9D9D9"/>
      </right>
      <top/>
      <bottom/>
      <diagonal/>
    </border>
    <border>
      <left style="dotted">
        <color rgb="FF000000"/>
      </left>
      <right style="dotted">
        <color rgb="FF000000"/>
      </right>
      <top/>
      <bottom style="dotted">
        <color rgb="FF000000"/>
      </bottom>
      <diagonal/>
    </border>
  </borders>
  <cellStyleXfs count="2">
    <xf numFmtId="0" fontId="0" fillId="0" borderId="0"/>
    <xf numFmtId="0" fontId="1" fillId="0" borderId="0"/>
  </cellStyleXfs>
  <cellXfs count="425">
    <xf numFmtId="0" fontId="0" fillId="0" borderId="0" xfId="0"/>
    <xf numFmtId="164" fontId="3" fillId="2" borderId="0" xfId="1" applyNumberFormat="1" applyFont="1" applyFill="1" applyAlignment="1">
      <alignment horizontal="center" vertical="center" wrapText="1"/>
    </xf>
    <xf numFmtId="0" fontId="3" fillId="2" borderId="0" xfId="1" applyFont="1" applyFill="1" applyAlignment="1">
      <alignment horizontal="center" vertical="center"/>
    </xf>
    <xf numFmtId="0" fontId="3" fillId="2" borderId="0" xfId="1" applyFont="1" applyFill="1" applyAlignment="1">
      <alignment horizontal="center" vertical="center" wrapText="1"/>
    </xf>
    <xf numFmtId="0" fontId="4" fillId="3" borderId="0" xfId="1" applyFont="1" applyFill="1" applyAlignment="1">
      <alignment horizontal="center" vertical="center"/>
    </xf>
    <xf numFmtId="0" fontId="5" fillId="4" borderId="0" xfId="1" applyFont="1" applyFill="1" applyAlignment="1">
      <alignment horizontal="center" vertical="center"/>
    </xf>
    <xf numFmtId="165" fontId="3" fillId="5" borderId="0" xfId="1" applyNumberFormat="1" applyFont="1" applyFill="1" applyAlignment="1">
      <alignment horizontal="center" vertical="center" wrapText="1"/>
    </xf>
    <xf numFmtId="0" fontId="3" fillId="6" borderId="0" xfId="1" applyFont="1" applyFill="1" applyAlignment="1">
      <alignment horizontal="center" vertical="center" wrapText="1"/>
    </xf>
    <xf numFmtId="0" fontId="1" fillId="0" borderId="0" xfId="1"/>
    <xf numFmtId="164" fontId="2" fillId="2" borderId="0" xfId="1" applyNumberFormat="1" applyFont="1" applyFill="1" applyAlignment="1">
      <alignment horizontal="center"/>
    </xf>
    <xf numFmtId="0" fontId="2" fillId="2" borderId="0" xfId="1" applyFont="1" applyFill="1" applyAlignment="1">
      <alignment horizontal="center"/>
    </xf>
    <xf numFmtId="0" fontId="6" fillId="2" borderId="0" xfId="1" applyFont="1" applyFill="1" applyAlignment="1">
      <alignment horizontal="center"/>
    </xf>
    <xf numFmtId="0" fontId="4" fillId="3" borderId="0" xfId="1" applyFont="1" applyFill="1" applyAlignment="1">
      <alignment horizontal="center"/>
    </xf>
    <xf numFmtId="0" fontId="5" fillId="4" borderId="0" xfId="1" applyFont="1" applyFill="1" applyAlignment="1">
      <alignment horizontal="center"/>
    </xf>
    <xf numFmtId="165" fontId="3" fillId="5" borderId="0" xfId="1" applyNumberFormat="1" applyFont="1" applyFill="1" applyAlignment="1">
      <alignment horizontal="center"/>
    </xf>
    <xf numFmtId="0" fontId="2" fillId="6" borderId="0" xfId="1" applyFont="1" applyFill="1" applyAlignment="1">
      <alignment horizontal="center"/>
    </xf>
    <xf numFmtId="0" fontId="7" fillId="2" borderId="0" xfId="1" applyFont="1" applyFill="1" applyAlignment="1">
      <alignment horizontal="center"/>
    </xf>
    <xf numFmtId="3" fontId="2" fillId="2" borderId="0" xfId="1" applyNumberFormat="1" applyFont="1" applyFill="1" applyAlignment="1">
      <alignment horizontal="center"/>
    </xf>
    <xf numFmtId="0" fontId="8" fillId="4" borderId="0" xfId="1" applyFont="1" applyFill="1" applyAlignment="1">
      <alignment horizontal="center"/>
    </xf>
    <xf numFmtId="164" fontId="4" fillId="2" borderId="0" xfId="1" applyNumberFormat="1" applyFont="1" applyFill="1" applyAlignment="1">
      <alignment horizontal="center"/>
    </xf>
    <xf numFmtId="0" fontId="4" fillId="2" borderId="0" xfId="1" applyFont="1" applyFill="1" applyAlignment="1">
      <alignment horizontal="center"/>
    </xf>
    <xf numFmtId="0" fontId="4" fillId="4" borderId="0" xfId="1" applyFont="1" applyFill="1" applyAlignment="1">
      <alignment horizontal="center"/>
    </xf>
    <xf numFmtId="165" fontId="4" fillId="5" borderId="0" xfId="1" applyNumberFormat="1" applyFont="1" applyFill="1" applyAlignment="1">
      <alignment horizontal="center"/>
    </xf>
    <xf numFmtId="0" fontId="4" fillId="6" borderId="0" xfId="1" applyFont="1" applyFill="1" applyAlignment="1">
      <alignment horizontal="center"/>
    </xf>
    <xf numFmtId="166" fontId="2" fillId="2" borderId="0" xfId="1" applyNumberFormat="1" applyFont="1" applyFill="1" applyAlignment="1">
      <alignment horizontal="center"/>
    </xf>
    <xf numFmtId="49" fontId="2" fillId="2" borderId="0" xfId="1" applyNumberFormat="1" applyFont="1" applyFill="1" applyAlignment="1">
      <alignment horizontal="center"/>
    </xf>
    <xf numFmtId="168" fontId="2" fillId="2" borderId="0" xfId="1" applyNumberFormat="1" applyFont="1" applyFill="1" applyAlignment="1">
      <alignment horizontal="center"/>
    </xf>
    <xf numFmtId="0" fontId="10" fillId="4" borderId="0" xfId="1" applyFont="1" applyFill="1" applyAlignment="1">
      <alignment horizontal="center"/>
    </xf>
    <xf numFmtId="169" fontId="6" fillId="2" borderId="0" xfId="1" applyNumberFormat="1" applyFont="1" applyFill="1" applyAlignment="1">
      <alignment horizontal="center"/>
    </xf>
    <xf numFmtId="164" fontId="11" fillId="2" borderId="0" xfId="1" applyNumberFormat="1" applyFont="1" applyFill="1" applyAlignment="1">
      <alignment horizontal="center"/>
    </xf>
    <xf numFmtId="0" fontId="11" fillId="2" borderId="0" xfId="1" applyFont="1" applyFill="1" applyAlignment="1">
      <alignment horizontal="center"/>
    </xf>
    <xf numFmtId="166" fontId="11" fillId="2" borderId="0" xfId="1" applyNumberFormat="1" applyFont="1" applyFill="1" applyAlignment="1">
      <alignment horizontal="center"/>
    </xf>
    <xf numFmtId="0" fontId="10" fillId="3" borderId="0" xfId="1" applyFont="1" applyFill="1" applyAlignment="1">
      <alignment horizontal="center"/>
    </xf>
    <xf numFmtId="165" fontId="12" fillId="5" borderId="0" xfId="1" applyNumberFormat="1" applyFont="1" applyFill="1" applyAlignment="1">
      <alignment horizontal="center"/>
    </xf>
    <xf numFmtId="0" fontId="11" fillId="6" borderId="0" xfId="1" applyFont="1" applyFill="1" applyAlignment="1">
      <alignment horizontal="center"/>
    </xf>
    <xf numFmtId="0" fontId="10" fillId="2" borderId="0" xfId="1" applyFont="1" applyFill="1" applyAlignment="1">
      <alignment horizontal="center"/>
    </xf>
    <xf numFmtId="0" fontId="9" fillId="2" borderId="0" xfId="1" applyFont="1" applyFill="1" applyAlignment="1">
      <alignment horizontal="center" vertical="center"/>
    </xf>
    <xf numFmtId="164" fontId="9" fillId="2" borderId="0" xfId="1" applyNumberFormat="1" applyFont="1" applyFill="1" applyAlignment="1">
      <alignment horizontal="center" vertical="center"/>
    </xf>
    <xf numFmtId="49" fontId="9" fillId="2" borderId="0" xfId="1" applyNumberFormat="1" applyFont="1" applyFill="1" applyAlignment="1">
      <alignment horizontal="center" vertical="center"/>
    </xf>
    <xf numFmtId="165" fontId="14" fillId="5" borderId="0" xfId="1" applyNumberFormat="1" applyFont="1" applyFill="1" applyAlignment="1">
      <alignment horizontal="center" vertical="center"/>
    </xf>
    <xf numFmtId="0" fontId="14" fillId="2" borderId="0" xfId="1" applyFont="1" applyFill="1" applyAlignment="1">
      <alignment horizontal="center" vertical="center"/>
    </xf>
    <xf numFmtId="0" fontId="9" fillId="6" borderId="0" xfId="1" applyFont="1" applyFill="1" applyAlignment="1">
      <alignment horizontal="center" vertical="center"/>
    </xf>
    <xf numFmtId="0" fontId="15" fillId="2" borderId="0" xfId="1" applyFont="1" applyFill="1" applyAlignment="1">
      <alignment horizontal="center" vertical="center"/>
    </xf>
    <xf numFmtId="0" fontId="8" fillId="4" borderId="0" xfId="1" applyFont="1" applyFill="1" applyAlignment="1">
      <alignment horizontal="center" vertical="center"/>
    </xf>
    <xf numFmtId="164" fontId="4" fillId="2" borderId="0" xfId="1" applyNumberFormat="1" applyFont="1" applyFill="1" applyAlignment="1">
      <alignment horizontal="center" vertical="center"/>
    </xf>
    <xf numFmtId="0" fontId="4" fillId="2" borderId="0" xfId="1" applyFont="1" applyFill="1" applyAlignment="1">
      <alignment horizontal="center" vertical="center"/>
    </xf>
    <xf numFmtId="49" fontId="4" fillId="2" borderId="0" xfId="1" applyNumberFormat="1" applyFont="1" applyFill="1" applyAlignment="1">
      <alignment horizontal="center" vertical="center"/>
    </xf>
    <xf numFmtId="0" fontId="4" fillId="4" borderId="0" xfId="1" applyFont="1" applyFill="1" applyAlignment="1">
      <alignment horizontal="center" vertical="center"/>
    </xf>
    <xf numFmtId="165" fontId="4" fillId="5" borderId="0" xfId="1" applyNumberFormat="1" applyFont="1" applyFill="1" applyAlignment="1">
      <alignment horizontal="center" vertical="center"/>
    </xf>
    <xf numFmtId="0" fontId="4" fillId="6" borderId="0" xfId="1" applyFont="1" applyFill="1" applyAlignment="1">
      <alignment horizontal="center" vertical="center"/>
    </xf>
    <xf numFmtId="49" fontId="14" fillId="2" borderId="0" xfId="1" applyNumberFormat="1" applyFont="1" applyFill="1" applyAlignment="1">
      <alignment horizontal="center" vertical="center"/>
    </xf>
    <xf numFmtId="3" fontId="9" fillId="2" borderId="0" xfId="1" applyNumberFormat="1" applyFont="1" applyFill="1" applyAlignment="1">
      <alignment horizontal="center" vertical="center"/>
    </xf>
    <xf numFmtId="164" fontId="1" fillId="2" borderId="0" xfId="1" applyNumberFormat="1" applyFill="1" applyAlignment="1">
      <alignment horizontal="center" vertical="center"/>
    </xf>
    <xf numFmtId="0" fontId="1" fillId="2" borderId="0" xfId="1" applyFill="1" applyAlignment="1">
      <alignment horizontal="center" vertical="center"/>
    </xf>
    <xf numFmtId="49" fontId="1" fillId="2" borderId="0" xfId="1" applyNumberFormat="1" applyFill="1" applyAlignment="1">
      <alignment horizontal="center" vertical="center"/>
    </xf>
    <xf numFmtId="49" fontId="13" fillId="2" borderId="0" xfId="1" applyNumberFormat="1" applyFont="1" applyFill="1" applyAlignment="1">
      <alignment horizontal="center" vertical="center"/>
    </xf>
    <xf numFmtId="168" fontId="4" fillId="2" borderId="0" xfId="1" applyNumberFormat="1" applyFont="1" applyFill="1" applyAlignment="1">
      <alignment horizontal="center" vertical="center"/>
    </xf>
    <xf numFmtId="3" fontId="4" fillId="2" borderId="0" xfId="1" applyNumberFormat="1" applyFont="1" applyFill="1" applyAlignment="1">
      <alignment horizontal="center" vertical="center"/>
    </xf>
    <xf numFmtId="49" fontId="16" fillId="8" borderId="0" xfId="1" applyNumberFormat="1" applyFont="1" applyFill="1" applyAlignment="1">
      <alignment horizontal="center"/>
    </xf>
    <xf numFmtId="168" fontId="9" fillId="2" borderId="0" xfId="1" applyNumberFormat="1" applyFont="1" applyFill="1" applyAlignment="1">
      <alignment horizontal="center" vertical="center"/>
    </xf>
    <xf numFmtId="166" fontId="4" fillId="2" borderId="0" xfId="1" applyNumberFormat="1" applyFont="1" applyFill="1" applyAlignment="1">
      <alignment horizontal="center" vertical="center"/>
    </xf>
    <xf numFmtId="0" fontId="10" fillId="4" borderId="0" xfId="1" applyFont="1" applyFill="1" applyAlignment="1">
      <alignment horizontal="center" vertical="center"/>
    </xf>
    <xf numFmtId="0" fontId="10" fillId="2" borderId="0" xfId="1" applyFont="1" applyFill="1" applyAlignment="1">
      <alignment horizontal="center" vertical="center"/>
    </xf>
    <xf numFmtId="0" fontId="18" fillId="2" borderId="0" xfId="1" applyFont="1" applyFill="1" applyAlignment="1">
      <alignment horizontal="center" vertical="center"/>
    </xf>
    <xf numFmtId="164" fontId="14" fillId="2" borderId="0" xfId="1" applyNumberFormat="1" applyFont="1" applyFill="1" applyAlignment="1">
      <alignment horizontal="center" vertical="center"/>
    </xf>
    <xf numFmtId="0" fontId="14" fillId="6" borderId="0" xfId="1" applyFont="1" applyFill="1" applyAlignment="1">
      <alignment horizontal="center" vertical="center"/>
    </xf>
    <xf numFmtId="166" fontId="1" fillId="2" borderId="0" xfId="1" applyNumberFormat="1" applyFill="1" applyAlignment="1">
      <alignment horizontal="center" vertical="center"/>
    </xf>
    <xf numFmtId="166" fontId="9" fillId="2" borderId="0" xfId="1" applyNumberFormat="1" applyFont="1" applyFill="1" applyAlignment="1">
      <alignment horizontal="center" vertical="center"/>
    </xf>
    <xf numFmtId="3" fontId="9" fillId="2" borderId="0" xfId="1" applyNumberFormat="1" applyFont="1" applyFill="1" applyAlignment="1">
      <alignment horizontal="center"/>
    </xf>
    <xf numFmtId="0" fontId="19" fillId="2" borderId="0" xfId="1" applyFont="1" applyFill="1" applyAlignment="1">
      <alignment horizontal="center" vertical="center"/>
    </xf>
    <xf numFmtId="49" fontId="19" fillId="2" borderId="0" xfId="1" applyNumberFormat="1" applyFont="1" applyFill="1" applyAlignment="1">
      <alignment horizontal="center" vertical="center"/>
    </xf>
    <xf numFmtId="0" fontId="10" fillId="3" borderId="0" xfId="1" applyFont="1" applyFill="1" applyAlignment="1">
      <alignment horizontal="center" vertical="center"/>
    </xf>
    <xf numFmtId="0" fontId="19" fillId="4" borderId="0" xfId="1" applyFont="1" applyFill="1" applyAlignment="1">
      <alignment horizontal="center" vertical="center"/>
    </xf>
    <xf numFmtId="165" fontId="19" fillId="5" borderId="0" xfId="1" applyNumberFormat="1" applyFont="1" applyFill="1" applyAlignment="1">
      <alignment horizontal="center" vertical="center"/>
    </xf>
    <xf numFmtId="0" fontId="19" fillId="6" borderId="0" xfId="1" applyFont="1" applyFill="1" applyAlignment="1">
      <alignment horizontal="center" vertical="center"/>
    </xf>
    <xf numFmtId="49" fontId="3" fillId="2" borderId="0" xfId="1" applyNumberFormat="1" applyFont="1" applyFill="1" applyAlignment="1">
      <alignment horizontal="center" vertical="center"/>
    </xf>
    <xf numFmtId="3" fontId="1" fillId="2" borderId="0" xfId="1" applyNumberFormat="1" applyFill="1" applyAlignment="1">
      <alignment horizontal="center" vertical="center"/>
    </xf>
    <xf numFmtId="0" fontId="12" fillId="2" borderId="0" xfId="1" applyFont="1" applyFill="1" applyAlignment="1">
      <alignment horizontal="center" vertical="center"/>
    </xf>
    <xf numFmtId="0" fontId="3" fillId="6" borderId="0" xfId="1" applyFont="1" applyFill="1" applyAlignment="1">
      <alignment horizontal="center" vertical="center"/>
    </xf>
    <xf numFmtId="170" fontId="4" fillId="2" borderId="0" xfId="1" applyNumberFormat="1" applyFont="1" applyFill="1" applyAlignment="1">
      <alignment horizontal="center" vertical="center"/>
    </xf>
    <xf numFmtId="170" fontId="9" fillId="2" borderId="0" xfId="1" applyNumberFormat="1" applyFont="1" applyFill="1" applyAlignment="1">
      <alignment horizontal="center" vertical="center"/>
    </xf>
    <xf numFmtId="170" fontId="1" fillId="2" borderId="0" xfId="1" applyNumberFormat="1" applyFill="1" applyAlignment="1">
      <alignment horizontal="center" vertical="center"/>
    </xf>
    <xf numFmtId="0" fontId="20" fillId="4" borderId="0" xfId="1" applyFont="1" applyFill="1" applyAlignment="1">
      <alignment horizontal="center" vertical="center"/>
    </xf>
    <xf numFmtId="0" fontId="20" fillId="2" borderId="0" xfId="1" applyFont="1" applyFill="1" applyAlignment="1">
      <alignment horizontal="center" vertical="center"/>
    </xf>
    <xf numFmtId="165" fontId="3" fillId="5" borderId="0" xfId="1" applyNumberFormat="1" applyFont="1" applyFill="1" applyAlignment="1">
      <alignment horizontal="center" vertical="center"/>
    </xf>
    <xf numFmtId="0" fontId="1" fillId="0" borderId="0" xfId="1"/>
    <xf numFmtId="0" fontId="21" fillId="0" borderId="0" xfId="1" applyFont="1" applyAlignment="1">
      <alignment horizontal="center" vertical="center"/>
    </xf>
    <xf numFmtId="0" fontId="3" fillId="9" borderId="0" xfId="1" applyFont="1" applyFill="1" applyAlignment="1">
      <alignment horizontal="center" vertical="center" wrapText="1"/>
    </xf>
    <xf numFmtId="0" fontId="3" fillId="10" borderId="0" xfId="1" applyFont="1" applyFill="1" applyAlignment="1">
      <alignment horizontal="center" vertical="center" wrapText="1"/>
    </xf>
    <xf numFmtId="164" fontId="1" fillId="2" borderId="3" xfId="1" applyNumberFormat="1" applyFill="1" applyBorder="1" applyAlignment="1">
      <alignment horizontal="center"/>
    </xf>
    <xf numFmtId="0" fontId="3" fillId="2" borderId="0" xfId="1" applyFont="1" applyFill="1" applyAlignment="1">
      <alignment horizontal="center"/>
    </xf>
    <xf numFmtId="0" fontId="1" fillId="2" borderId="0" xfId="1" applyFill="1" applyAlignment="1">
      <alignment horizontal="center"/>
    </xf>
    <xf numFmtId="165" fontId="14" fillId="5" borderId="0" xfId="1" applyNumberFormat="1" applyFont="1" applyFill="1" applyAlignment="1">
      <alignment horizontal="center"/>
    </xf>
    <xf numFmtId="0" fontId="1" fillId="0" borderId="0" xfId="1" applyAlignment="1">
      <alignment horizontal="center"/>
    </xf>
    <xf numFmtId="0" fontId="9" fillId="10" borderId="0" xfId="1" applyFont="1" applyFill="1" applyAlignment="1">
      <alignment horizontal="center"/>
    </xf>
    <xf numFmtId="169" fontId="1" fillId="2" borderId="0" xfId="1" applyNumberFormat="1" applyFill="1" applyAlignment="1">
      <alignment horizontal="center"/>
    </xf>
    <xf numFmtId="164" fontId="3" fillId="2" borderId="3" xfId="1" applyNumberFormat="1" applyFont="1" applyFill="1" applyBorder="1" applyAlignment="1">
      <alignment horizontal="center"/>
    </xf>
    <xf numFmtId="0" fontId="3" fillId="0" borderId="0" xfId="1" applyFont="1" applyAlignment="1">
      <alignment horizontal="center"/>
    </xf>
    <xf numFmtId="0" fontId="14" fillId="10" borderId="0" xfId="1" applyFont="1" applyFill="1" applyAlignment="1">
      <alignment horizontal="center"/>
    </xf>
    <xf numFmtId="0" fontId="1" fillId="2" borderId="3" xfId="1" applyFill="1" applyBorder="1" applyAlignment="1">
      <alignment horizontal="center"/>
    </xf>
    <xf numFmtId="169" fontId="3" fillId="2" borderId="0" xfId="1" applyNumberFormat="1" applyFont="1" applyFill="1" applyAlignment="1">
      <alignment horizontal="center"/>
    </xf>
    <xf numFmtId="164" fontId="4" fillId="2" borderId="3" xfId="1" applyNumberFormat="1" applyFont="1" applyFill="1" applyBorder="1" applyAlignment="1">
      <alignment horizontal="center"/>
    </xf>
    <xf numFmtId="0" fontId="4" fillId="0" borderId="0" xfId="1" applyFont="1" applyAlignment="1">
      <alignment horizontal="center"/>
    </xf>
    <xf numFmtId="0" fontId="4" fillId="10" borderId="0" xfId="1" applyFont="1" applyFill="1" applyAlignment="1">
      <alignment horizontal="center"/>
    </xf>
    <xf numFmtId="169" fontId="13" fillId="2" borderId="0" xfId="1" applyNumberFormat="1" applyFont="1" applyFill="1" applyAlignment="1">
      <alignment horizontal="center"/>
    </xf>
    <xf numFmtId="169" fontId="4" fillId="2" borderId="0" xfId="1" applyNumberFormat="1" applyFont="1" applyFill="1" applyAlignment="1">
      <alignment horizontal="center"/>
    </xf>
    <xf numFmtId="0" fontId="1" fillId="10" borderId="0" xfId="1" applyFill="1" applyAlignment="1">
      <alignment horizontal="center"/>
    </xf>
    <xf numFmtId="0" fontId="4" fillId="2" borderId="3" xfId="1" applyFont="1" applyFill="1" applyBorder="1" applyAlignment="1">
      <alignment horizontal="center"/>
    </xf>
    <xf numFmtId="0" fontId="10" fillId="0" borderId="0" xfId="1" applyFont="1" applyAlignment="1">
      <alignment horizontal="center"/>
    </xf>
    <xf numFmtId="164" fontId="3" fillId="2" borderId="0" xfId="1" applyNumberFormat="1" applyFont="1" applyFill="1" applyAlignment="1">
      <alignment horizontal="center"/>
    </xf>
    <xf numFmtId="0" fontId="22" fillId="2" borderId="0" xfId="1" applyFont="1" applyFill="1" applyAlignment="1">
      <alignment horizontal="center"/>
    </xf>
    <xf numFmtId="0" fontId="24" fillId="2" borderId="0" xfId="1" applyFont="1" applyFill="1" applyAlignment="1">
      <alignment horizontal="center"/>
    </xf>
    <xf numFmtId="0" fontId="17" fillId="2" borderId="0" xfId="1" applyFont="1" applyFill="1" applyAlignment="1">
      <alignment horizontal="center"/>
    </xf>
    <xf numFmtId="0" fontId="23" fillId="2" borderId="0" xfId="1" applyFont="1" applyFill="1" applyAlignment="1">
      <alignment horizontal="center"/>
    </xf>
    <xf numFmtId="0" fontId="3" fillId="10" borderId="0" xfId="1" applyFont="1" applyFill="1" applyAlignment="1">
      <alignment horizontal="center"/>
    </xf>
    <xf numFmtId="164" fontId="1" fillId="2" borderId="0" xfId="1" applyNumberFormat="1" applyFill="1" applyAlignment="1">
      <alignment horizontal="center"/>
    </xf>
    <xf numFmtId="0" fontId="13" fillId="0" borderId="0" xfId="1" applyFont="1" applyAlignment="1">
      <alignment horizontal="center"/>
    </xf>
    <xf numFmtId="0" fontId="12" fillId="0" borderId="0" xfId="1" applyFont="1" applyAlignment="1">
      <alignment horizontal="center"/>
    </xf>
    <xf numFmtId="0" fontId="25" fillId="2" borderId="0" xfId="1" applyFont="1" applyFill="1" applyAlignment="1">
      <alignment horizontal="center"/>
    </xf>
    <xf numFmtId="0" fontId="12" fillId="2" borderId="0" xfId="1" applyFont="1" applyFill="1" applyAlignment="1">
      <alignment horizontal="center"/>
    </xf>
    <xf numFmtId="0" fontId="13" fillId="2" borderId="0" xfId="1" applyFont="1" applyFill="1" applyAlignment="1">
      <alignment horizontal="center"/>
    </xf>
    <xf numFmtId="0" fontId="27" fillId="2" borderId="0" xfId="1" applyFont="1" applyFill="1" applyAlignment="1">
      <alignment horizontal="center"/>
    </xf>
    <xf numFmtId="0" fontId="26" fillId="2" borderId="0" xfId="1" applyFont="1" applyFill="1" applyAlignment="1">
      <alignment horizontal="center"/>
    </xf>
    <xf numFmtId="0" fontId="26" fillId="3" borderId="0" xfId="1" applyFont="1" applyFill="1" applyAlignment="1">
      <alignment horizontal="center"/>
    </xf>
    <xf numFmtId="0" fontId="26" fillId="4" borderId="0" xfId="1" applyFont="1" applyFill="1" applyAlignment="1">
      <alignment horizontal="center"/>
    </xf>
    <xf numFmtId="165" fontId="26" fillId="5" borderId="0" xfId="1" applyNumberFormat="1" applyFont="1" applyFill="1" applyAlignment="1">
      <alignment horizontal="center"/>
    </xf>
    <xf numFmtId="0" fontId="27" fillId="0" borderId="0" xfId="1" applyFont="1" applyAlignment="1">
      <alignment horizontal="center"/>
    </xf>
    <xf numFmtId="0" fontId="27" fillId="10" borderId="0" xfId="1" applyFont="1" applyFill="1" applyAlignment="1">
      <alignment horizontal="center"/>
    </xf>
    <xf numFmtId="173" fontId="4" fillId="2" borderId="0" xfId="1" applyNumberFormat="1" applyFont="1" applyFill="1" applyAlignment="1">
      <alignment horizontal="center"/>
    </xf>
    <xf numFmtId="166" fontId="4" fillId="2" borderId="0" xfId="1" applyNumberFormat="1" applyFont="1" applyFill="1" applyAlignment="1">
      <alignment horizontal="center"/>
    </xf>
    <xf numFmtId="0" fontId="33" fillId="11" borderId="0" xfId="1" applyFont="1" applyFill="1"/>
    <xf numFmtId="167" fontId="30" fillId="5" borderId="0" xfId="1" applyNumberFormat="1" applyFont="1" applyFill="1" applyAlignment="1">
      <alignment horizontal="center" vertical="center"/>
    </xf>
    <xf numFmtId="0" fontId="30" fillId="10" borderId="0" xfId="1" applyFont="1" applyFill="1" applyAlignment="1">
      <alignment horizontal="center" vertical="center"/>
    </xf>
    <xf numFmtId="0" fontId="31" fillId="0" borderId="0" xfId="1" applyFont="1" applyAlignment="1">
      <alignment horizontal="center" vertical="center"/>
    </xf>
    <xf numFmtId="0" fontId="31" fillId="4" borderId="0" xfId="1" applyFont="1" applyFill="1" applyAlignment="1">
      <alignment horizontal="center" vertical="center"/>
    </xf>
    <xf numFmtId="0" fontId="32" fillId="4" borderId="0" xfId="1" applyFont="1" applyFill="1" applyAlignment="1">
      <alignment horizontal="center" vertical="center"/>
    </xf>
    <xf numFmtId="0" fontId="28" fillId="3" borderId="0" xfId="1" applyFont="1" applyFill="1" applyAlignment="1">
      <alignment horizontal="center" vertical="center"/>
    </xf>
    <xf numFmtId="0" fontId="31" fillId="2" borderId="0" xfId="1" applyFont="1" applyFill="1" applyAlignment="1">
      <alignment horizontal="center" vertical="center"/>
    </xf>
    <xf numFmtId="169" fontId="31" fillId="2" borderId="0" xfId="1" applyNumberFormat="1" applyFont="1" applyFill="1" applyAlignment="1">
      <alignment horizontal="center" vertical="center"/>
    </xf>
    <xf numFmtId="164" fontId="31" fillId="2" borderId="0" xfId="1" applyNumberFormat="1" applyFont="1" applyFill="1" applyAlignment="1">
      <alignment horizontal="center" vertical="center"/>
    </xf>
    <xf numFmtId="0" fontId="33" fillId="0" borderId="0" xfId="1" applyFont="1"/>
    <xf numFmtId="0" fontId="28" fillId="10" borderId="0" xfId="1" applyFont="1" applyFill="1" applyAlignment="1">
      <alignment horizontal="center" vertical="center"/>
    </xf>
    <xf numFmtId="0" fontId="28" fillId="0" borderId="0" xfId="1" applyFont="1" applyAlignment="1">
      <alignment horizontal="center" vertical="center"/>
    </xf>
    <xf numFmtId="167" fontId="28" fillId="5" borderId="0" xfId="1" applyNumberFormat="1" applyFont="1" applyFill="1" applyAlignment="1">
      <alignment horizontal="center" vertical="center"/>
    </xf>
    <xf numFmtId="0" fontId="28" fillId="4" borderId="0" xfId="1" applyFont="1" applyFill="1" applyAlignment="1">
      <alignment horizontal="center" vertical="center"/>
    </xf>
    <xf numFmtId="0" fontId="28" fillId="2" borderId="0" xfId="1" applyFont="1" applyFill="1" applyAlignment="1">
      <alignment horizontal="center" vertical="center"/>
    </xf>
    <xf numFmtId="169" fontId="28" fillId="2" borderId="0" xfId="1" applyNumberFormat="1" applyFont="1" applyFill="1" applyAlignment="1">
      <alignment horizontal="center" vertical="center"/>
    </xf>
    <xf numFmtId="164" fontId="28" fillId="2" borderId="0" xfId="1" applyNumberFormat="1" applyFont="1" applyFill="1" applyAlignment="1">
      <alignment horizontal="center" vertical="center"/>
    </xf>
    <xf numFmtId="0" fontId="34" fillId="10" borderId="0" xfId="1" applyFont="1" applyFill="1" applyAlignment="1">
      <alignment horizontal="center" vertical="center"/>
    </xf>
    <xf numFmtId="0" fontId="31" fillId="10" borderId="0" xfId="1" applyFont="1" applyFill="1" applyAlignment="1">
      <alignment horizontal="center" vertical="center"/>
    </xf>
    <xf numFmtId="0" fontId="30" fillId="2" borderId="0" xfId="1" applyFont="1" applyFill="1" applyAlignment="1">
      <alignment horizontal="center" vertical="center"/>
    </xf>
    <xf numFmtId="0" fontId="35" fillId="0" borderId="0" xfId="1" applyFont="1"/>
    <xf numFmtId="169" fontId="30" fillId="2" borderId="0" xfId="1" applyNumberFormat="1" applyFont="1" applyFill="1" applyAlignment="1">
      <alignment horizontal="center" vertical="center"/>
    </xf>
    <xf numFmtId="164" fontId="31" fillId="2" borderId="3" xfId="1" applyNumberFormat="1" applyFont="1" applyFill="1" applyBorder="1" applyAlignment="1">
      <alignment horizontal="center" vertical="center"/>
    </xf>
    <xf numFmtId="0" fontId="36" fillId="4" borderId="0" xfId="1" applyFont="1" applyFill="1" applyAlignment="1">
      <alignment horizontal="center" vertical="center"/>
    </xf>
    <xf numFmtId="164" fontId="28" fillId="2" borderId="3" xfId="1" applyNumberFormat="1" applyFont="1" applyFill="1" applyBorder="1" applyAlignment="1">
      <alignment horizontal="center" vertical="center"/>
    </xf>
    <xf numFmtId="0" fontId="37" fillId="4" borderId="0" xfId="1" applyFont="1" applyFill="1" applyAlignment="1">
      <alignment horizontal="center" vertical="center"/>
    </xf>
    <xf numFmtId="167" fontId="38" fillId="5" borderId="0" xfId="1" applyNumberFormat="1" applyFont="1" applyFill="1" applyAlignment="1">
      <alignment horizontal="center" vertical="center"/>
    </xf>
    <xf numFmtId="0" fontId="34" fillId="4" borderId="0" xfId="1" applyFont="1" applyFill="1" applyAlignment="1">
      <alignment horizontal="center" vertical="center"/>
    </xf>
    <xf numFmtId="0" fontId="28" fillId="2" borderId="3" xfId="1" applyFont="1" applyFill="1" applyBorder="1" applyAlignment="1">
      <alignment horizontal="center" vertical="center"/>
    </xf>
    <xf numFmtId="0" fontId="30" fillId="0" borderId="0" xfId="1" applyFont="1" applyAlignment="1">
      <alignment horizontal="center" vertical="center"/>
    </xf>
    <xf numFmtId="0" fontId="39" fillId="0" borderId="0" xfId="1" applyFont="1"/>
    <xf numFmtId="0" fontId="40" fillId="0" borderId="0" xfId="1" applyFont="1"/>
    <xf numFmtId="0" fontId="30" fillId="4" borderId="0" xfId="1" applyFont="1" applyFill="1" applyAlignment="1">
      <alignment horizontal="center" vertical="center"/>
    </xf>
    <xf numFmtId="164" fontId="30" fillId="2" borderId="3" xfId="1" applyNumberFormat="1" applyFont="1" applyFill="1" applyBorder="1" applyAlignment="1">
      <alignment horizontal="center" vertical="center"/>
    </xf>
    <xf numFmtId="0" fontId="35" fillId="0" borderId="1" xfId="1" applyFont="1" applyBorder="1"/>
    <xf numFmtId="0" fontId="39" fillId="0" borderId="1" xfId="1" applyFont="1" applyBorder="1"/>
    <xf numFmtId="0" fontId="29" fillId="10" borderId="0" xfId="1" applyFont="1" applyFill="1" applyAlignment="1">
      <alignment horizontal="center" vertical="center"/>
    </xf>
    <xf numFmtId="0" fontId="38" fillId="0" borderId="0" xfId="1" applyFont="1" applyAlignment="1">
      <alignment horizontal="center" vertical="center"/>
    </xf>
    <xf numFmtId="0" fontId="29" fillId="0" borderId="0" xfId="1" applyFont="1" applyAlignment="1">
      <alignment horizontal="center" vertical="center"/>
    </xf>
    <xf numFmtId="0" fontId="38" fillId="2" borderId="0" xfId="1" applyFont="1" applyFill="1" applyAlignment="1">
      <alignment horizontal="center" vertical="center"/>
    </xf>
    <xf numFmtId="0" fontId="29" fillId="2" borderId="0" xfId="1" applyFont="1" applyFill="1" applyAlignment="1">
      <alignment horizontal="center" vertical="center"/>
    </xf>
    <xf numFmtId="164" fontId="29" fillId="2" borderId="3" xfId="1" applyNumberFormat="1" applyFont="1" applyFill="1" applyBorder="1" applyAlignment="1">
      <alignment horizontal="center" vertical="center"/>
    </xf>
    <xf numFmtId="0" fontId="40" fillId="0" borderId="1" xfId="1" applyFont="1" applyBorder="1"/>
    <xf numFmtId="169" fontId="29" fillId="2" borderId="0" xfId="1" applyNumberFormat="1" applyFont="1" applyFill="1" applyAlignment="1">
      <alignment horizontal="center" vertical="center"/>
    </xf>
    <xf numFmtId="166" fontId="38" fillId="2" borderId="0" xfId="1" applyNumberFormat="1" applyFont="1" applyFill="1" applyAlignment="1">
      <alignment horizontal="center" vertical="center"/>
    </xf>
    <xf numFmtId="169" fontId="38" fillId="2" borderId="0" xfId="1" applyNumberFormat="1" applyFont="1" applyFill="1" applyAlignment="1">
      <alignment horizontal="center" vertical="center"/>
    </xf>
    <xf numFmtId="0" fontId="38" fillId="10" borderId="0" xfId="1" applyFont="1" applyFill="1" applyAlignment="1">
      <alignment horizontal="center" vertical="center"/>
    </xf>
    <xf numFmtId="164" fontId="38" fillId="2" borderId="3" xfId="1" applyNumberFormat="1" applyFont="1" applyFill="1" applyBorder="1" applyAlignment="1">
      <alignment horizontal="center" vertical="center"/>
    </xf>
    <xf numFmtId="49" fontId="30" fillId="4" borderId="0" xfId="1" applyNumberFormat="1" applyFont="1" applyFill="1" applyAlignment="1">
      <alignment horizontal="center" vertical="center"/>
    </xf>
    <xf numFmtId="0" fontId="41" fillId="0" borderId="2" xfId="1" applyFont="1" applyBorder="1" applyAlignment="1">
      <alignment horizontal="center"/>
    </xf>
    <xf numFmtId="0" fontId="41" fillId="7" borderId="2" xfId="1" applyFont="1" applyFill="1" applyBorder="1" applyAlignment="1">
      <alignment horizontal="center"/>
    </xf>
    <xf numFmtId="0" fontId="41" fillId="7" borderId="2" xfId="1" applyFont="1" applyFill="1" applyBorder="1" applyAlignment="1">
      <alignment horizontal="center" wrapText="1"/>
    </xf>
    <xf numFmtId="0" fontId="40" fillId="0" borderId="2" xfId="1" applyFont="1" applyBorder="1" applyAlignment="1">
      <alignment horizontal="center" vertical="center" wrapText="1"/>
    </xf>
    <xf numFmtId="0" fontId="28" fillId="3" borderId="0" xfId="1" applyFont="1" applyFill="1" applyAlignment="1">
      <alignment horizontal="center"/>
    </xf>
    <xf numFmtId="0" fontId="40" fillId="0" borderId="2" xfId="1" applyFont="1" applyBorder="1" applyAlignment="1">
      <alignment horizontal="center" vertical="center" wrapText="1"/>
    </xf>
    <xf numFmtId="0" fontId="40" fillId="0" borderId="2" xfId="1" applyFont="1" applyBorder="1" applyAlignment="1">
      <alignment horizontal="center" wrapText="1"/>
    </xf>
    <xf numFmtId="0" fontId="40" fillId="0" borderId="2" xfId="1" applyFont="1" applyBorder="1" applyAlignment="1">
      <alignment horizontal="center" wrapText="1"/>
    </xf>
    <xf numFmtId="0" fontId="42" fillId="0" borderId="2" xfId="1" applyFont="1" applyBorder="1" applyAlignment="1">
      <alignment horizontal="center" wrapText="1"/>
    </xf>
    <xf numFmtId="167" fontId="38" fillId="7" borderId="1" xfId="1" applyNumberFormat="1" applyFont="1" applyFill="1" applyBorder="1" applyAlignment="1">
      <alignment horizontal="center" wrapText="1"/>
    </xf>
    <xf numFmtId="0" fontId="38" fillId="7" borderId="1" xfId="1" applyFont="1" applyFill="1" applyBorder="1" applyAlignment="1">
      <alignment horizontal="center" wrapText="1"/>
    </xf>
    <xf numFmtId="0" fontId="29" fillId="10" borderId="0" xfId="1" applyFont="1" applyFill="1" applyAlignment="1">
      <alignment horizontal="center"/>
    </xf>
    <xf numFmtId="0" fontId="38" fillId="0" borderId="0" xfId="1" applyFont="1" applyAlignment="1">
      <alignment horizontal="center"/>
    </xf>
    <xf numFmtId="0" fontId="29" fillId="0" borderId="0" xfId="1" applyFont="1" applyAlignment="1">
      <alignment horizontal="center"/>
    </xf>
    <xf numFmtId="0" fontId="29" fillId="4" borderId="0" xfId="1" applyFont="1" applyFill="1" applyAlignment="1">
      <alignment horizontal="center"/>
    </xf>
    <xf numFmtId="0" fontId="32" fillId="4" borderId="0" xfId="1" applyFont="1" applyFill="1" applyAlignment="1">
      <alignment horizontal="center"/>
    </xf>
    <xf numFmtId="0" fontId="38" fillId="2" borderId="0" xfId="1" applyFont="1" applyFill="1" applyAlignment="1">
      <alignment horizontal="center"/>
    </xf>
    <xf numFmtId="0" fontId="29" fillId="2" borderId="0" xfId="1" applyFont="1" applyFill="1" applyAlignment="1">
      <alignment horizontal="center"/>
    </xf>
    <xf numFmtId="164" fontId="29" fillId="2" borderId="3" xfId="1" applyNumberFormat="1" applyFont="1" applyFill="1" applyBorder="1" applyAlignment="1">
      <alignment horizontal="center"/>
    </xf>
    <xf numFmtId="0" fontId="38" fillId="0" borderId="1" xfId="1" applyFont="1" applyBorder="1" applyAlignment="1">
      <alignment horizontal="center" wrapText="1"/>
    </xf>
    <xf numFmtId="0" fontId="32" fillId="7" borderId="1" xfId="1" applyFont="1" applyFill="1" applyBorder="1" applyAlignment="1">
      <alignment horizontal="center" wrapText="1"/>
    </xf>
    <xf numFmtId="0" fontId="32" fillId="7" borderId="2" xfId="1" applyFont="1" applyFill="1" applyBorder="1" applyAlignment="1">
      <alignment horizontal="center" wrapText="1"/>
    </xf>
    <xf numFmtId="0" fontId="32" fillId="0" borderId="2" xfId="1" applyFont="1" applyBorder="1" applyAlignment="1">
      <alignment horizontal="center" wrapText="1"/>
    </xf>
    <xf numFmtId="0" fontId="28" fillId="0" borderId="2" xfId="1" applyFont="1" applyBorder="1" applyAlignment="1">
      <alignment horizontal="center" wrapText="1"/>
    </xf>
    <xf numFmtId="0" fontId="40" fillId="0" borderId="2" xfId="1" applyFont="1" applyBorder="1"/>
    <xf numFmtId="0" fontId="30" fillId="10" borderId="4" xfId="1" applyFont="1" applyFill="1" applyBorder="1" applyAlignment="1">
      <alignment horizontal="center" vertical="center" wrapText="1"/>
    </xf>
    <xf numFmtId="0" fontId="30" fillId="9" borderId="4" xfId="1" applyFont="1" applyFill="1" applyBorder="1" applyAlignment="1">
      <alignment horizontal="center" vertical="center" wrapText="1"/>
    </xf>
    <xf numFmtId="167" fontId="30" fillId="5" borderId="4" xfId="1" applyNumberFormat="1" applyFont="1" applyFill="1" applyBorder="1" applyAlignment="1">
      <alignment horizontal="center" vertical="center" wrapText="1"/>
    </xf>
    <xf numFmtId="0" fontId="30" fillId="4" borderId="4" xfId="1" applyFont="1" applyFill="1" applyBorder="1" applyAlignment="1">
      <alignment horizontal="center" vertical="center"/>
    </xf>
    <xf numFmtId="0" fontId="32" fillId="4" borderId="4" xfId="1" applyFont="1" applyFill="1" applyBorder="1" applyAlignment="1">
      <alignment horizontal="center" vertical="center"/>
    </xf>
    <xf numFmtId="0" fontId="28" fillId="3" borderId="4" xfId="1" applyFont="1" applyFill="1" applyBorder="1" applyAlignment="1">
      <alignment horizontal="center" vertical="center"/>
    </xf>
    <xf numFmtId="0" fontId="30" fillId="2" borderId="4" xfId="1" applyFont="1" applyFill="1" applyBorder="1" applyAlignment="1">
      <alignment horizontal="center" vertical="center" wrapText="1"/>
    </xf>
    <xf numFmtId="0" fontId="30" fillId="2" borderId="4" xfId="1" applyFont="1" applyFill="1" applyBorder="1" applyAlignment="1">
      <alignment horizontal="center" vertical="center"/>
    </xf>
    <xf numFmtId="164" fontId="30" fillId="2" borderId="5" xfId="1" applyNumberFormat="1" applyFont="1" applyFill="1" applyBorder="1" applyAlignment="1">
      <alignment horizontal="center" vertical="center" wrapText="1"/>
    </xf>
    <xf numFmtId="0" fontId="38" fillId="0" borderId="6" xfId="1" applyFont="1" applyBorder="1" applyAlignment="1">
      <alignment horizontal="center" vertical="center" wrapText="1"/>
    </xf>
    <xf numFmtId="0" fontId="28" fillId="3" borderId="4" xfId="1" applyFont="1" applyFill="1" applyBorder="1" applyAlignment="1">
      <alignment horizontal="center" vertical="center" wrapText="1"/>
    </xf>
    <xf numFmtId="0" fontId="32" fillId="4" borderId="4" xfId="1" applyFont="1" applyFill="1" applyBorder="1" applyAlignment="1">
      <alignment horizontal="center" vertical="center" wrapText="1"/>
    </xf>
    <xf numFmtId="0" fontId="30" fillId="5" borderId="4" xfId="1" applyFont="1" applyFill="1" applyBorder="1" applyAlignment="1">
      <alignment horizontal="center" vertical="center" wrapText="1"/>
    </xf>
    <xf numFmtId="14" fontId="29" fillId="2" borderId="0" xfId="1" applyNumberFormat="1" applyFont="1" applyFill="1" applyAlignment="1">
      <alignment horizontal="center"/>
    </xf>
    <xf numFmtId="0" fontId="31" fillId="5" borderId="0" xfId="1" applyFont="1" applyFill="1" applyAlignment="1">
      <alignment horizontal="center"/>
    </xf>
    <xf numFmtId="0" fontId="43" fillId="9" borderId="0" xfId="1" applyFont="1" applyFill="1" applyAlignment="1">
      <alignment horizontal="center"/>
    </xf>
    <xf numFmtId="0" fontId="29" fillId="9" borderId="0" xfId="1" applyFont="1" applyFill="1" applyAlignment="1">
      <alignment horizontal="center"/>
    </xf>
    <xf numFmtId="0" fontId="34" fillId="3" borderId="0" xfId="1" applyFont="1" applyFill="1" applyAlignment="1">
      <alignment horizontal="center"/>
    </xf>
    <xf numFmtId="0" fontId="36" fillId="4" borderId="0" xfId="1" applyFont="1" applyFill="1" applyAlignment="1">
      <alignment horizontal="center"/>
    </xf>
    <xf numFmtId="14" fontId="28" fillId="2" borderId="0" xfId="1" applyNumberFormat="1" applyFont="1" applyFill="1" applyAlignment="1">
      <alignment horizontal="center"/>
    </xf>
    <xf numFmtId="0" fontId="28" fillId="2" borderId="0" xfId="1" applyFont="1" applyFill="1" applyAlignment="1">
      <alignment horizontal="center"/>
    </xf>
    <xf numFmtId="0" fontId="30" fillId="5" borderId="0" xfId="1" applyFont="1" applyFill="1" applyAlignment="1">
      <alignment horizontal="center"/>
    </xf>
    <xf numFmtId="0" fontId="28" fillId="9" borderId="0" xfId="1" applyFont="1" applyFill="1" applyAlignment="1">
      <alignment horizontal="center"/>
    </xf>
    <xf numFmtId="0" fontId="28" fillId="10" borderId="0" xfId="1" applyFont="1" applyFill="1" applyAlignment="1">
      <alignment horizontal="center"/>
    </xf>
    <xf numFmtId="0" fontId="43" fillId="2" borderId="0" xfId="1" applyFont="1" applyFill="1" applyAlignment="1">
      <alignment horizontal="center"/>
    </xf>
    <xf numFmtId="0" fontId="44" fillId="3" borderId="0" xfId="1" applyFont="1" applyFill="1" applyAlignment="1">
      <alignment horizontal="center"/>
    </xf>
    <xf numFmtId="0" fontId="45" fillId="4" borderId="0" xfId="1" applyFont="1" applyFill="1" applyAlignment="1">
      <alignment horizontal="center"/>
    </xf>
    <xf numFmtId="0" fontId="46" fillId="5" borderId="0" xfId="1" applyFont="1" applyFill="1" applyAlignment="1">
      <alignment horizontal="center"/>
    </xf>
    <xf numFmtId="0" fontId="43" fillId="10" borderId="0" xfId="1" applyFont="1" applyFill="1" applyAlignment="1">
      <alignment horizontal="center"/>
    </xf>
    <xf numFmtId="169" fontId="29" fillId="2" borderId="0" xfId="1" applyNumberFormat="1" applyFont="1" applyFill="1" applyAlignment="1">
      <alignment horizontal="center"/>
    </xf>
    <xf numFmtId="0" fontId="29" fillId="5" borderId="0" xfId="1" applyFont="1" applyFill="1" applyAlignment="1">
      <alignment horizontal="center"/>
    </xf>
    <xf numFmtId="1" fontId="29" fillId="2" borderId="0" xfId="1" applyNumberFormat="1" applyFont="1" applyFill="1" applyAlignment="1">
      <alignment horizontal="center"/>
    </xf>
    <xf numFmtId="0" fontId="28" fillId="4" borderId="0" xfId="1" applyFont="1" applyFill="1" applyAlignment="1">
      <alignment horizontal="center"/>
    </xf>
    <xf numFmtId="0" fontId="28" fillId="5" borderId="0" xfId="1" applyFont="1" applyFill="1" applyAlignment="1">
      <alignment horizontal="center"/>
    </xf>
    <xf numFmtId="14" fontId="31" fillId="2" borderId="0" xfId="1" applyNumberFormat="1" applyFont="1" applyFill="1" applyAlignment="1">
      <alignment horizontal="center"/>
    </xf>
    <xf numFmtId="0" fontId="30" fillId="2" borderId="0" xfId="1" applyFont="1" applyFill="1" applyAlignment="1">
      <alignment horizontal="center"/>
    </xf>
    <xf numFmtId="0" fontId="31" fillId="2" borderId="0" xfId="1" applyFont="1" applyFill="1" applyAlignment="1">
      <alignment horizontal="center"/>
    </xf>
    <xf numFmtId="0" fontId="31" fillId="9" borderId="0" xfId="1" applyFont="1" applyFill="1" applyAlignment="1">
      <alignment horizontal="center"/>
    </xf>
    <xf numFmtId="0" fontId="31" fillId="10" borderId="0" xfId="1" applyFont="1" applyFill="1" applyAlignment="1">
      <alignment horizontal="center"/>
    </xf>
    <xf numFmtId="0" fontId="47" fillId="2" borderId="0" xfId="1" applyFont="1" applyFill="1" applyAlignment="1">
      <alignment horizontal="center"/>
    </xf>
    <xf numFmtId="169" fontId="28" fillId="2" borderId="0" xfId="1" applyNumberFormat="1" applyFont="1" applyFill="1" applyAlignment="1">
      <alignment horizontal="center"/>
    </xf>
    <xf numFmtId="169" fontId="38" fillId="2" borderId="0" xfId="1" applyNumberFormat="1" applyFont="1" applyFill="1" applyAlignment="1">
      <alignment horizontal="center"/>
    </xf>
    <xf numFmtId="0" fontId="38" fillId="9" borderId="0" xfId="1" applyFont="1" applyFill="1" applyAlignment="1">
      <alignment horizontal="center"/>
    </xf>
    <xf numFmtId="0" fontId="28" fillId="3" borderId="0" xfId="1" applyFont="1" applyFill="1" applyAlignment="1">
      <alignment horizontal="center" vertical="center"/>
    </xf>
    <xf numFmtId="0" fontId="28" fillId="4" borderId="0" xfId="1" applyFont="1" applyFill="1" applyAlignment="1">
      <alignment horizontal="center" vertical="center"/>
    </xf>
    <xf numFmtId="0" fontId="28" fillId="9" borderId="0" xfId="1" applyFont="1" applyFill="1" applyAlignment="1">
      <alignment horizontal="center" vertical="center"/>
    </xf>
    <xf numFmtId="0" fontId="32" fillId="4" borderId="0" xfId="1" applyFont="1" applyFill="1" applyAlignment="1">
      <alignment horizontal="center" vertical="center"/>
    </xf>
    <xf numFmtId="0" fontId="29" fillId="9" borderId="0" xfId="1" applyFont="1" applyFill="1" applyAlignment="1">
      <alignment horizontal="center" vertical="center"/>
    </xf>
    <xf numFmtId="164" fontId="29" fillId="2" borderId="0" xfId="1" applyNumberFormat="1" applyFont="1" applyFill="1" applyAlignment="1">
      <alignment horizontal="center"/>
    </xf>
    <xf numFmtId="164" fontId="28" fillId="2" borderId="0" xfId="1" applyNumberFormat="1" applyFont="1" applyFill="1" applyAlignment="1">
      <alignment horizontal="center"/>
    </xf>
    <xf numFmtId="0" fontId="29" fillId="2" borderId="0" xfId="1" applyFont="1" applyFill="1"/>
    <xf numFmtId="0" fontId="29" fillId="9" borderId="0" xfId="1" applyFont="1" applyFill="1"/>
    <xf numFmtId="0" fontId="38" fillId="2" borderId="0" xfId="1" quotePrefix="1" applyFont="1" applyFill="1" applyAlignment="1">
      <alignment horizontal="center"/>
    </xf>
    <xf numFmtId="166" fontId="29" fillId="2" borderId="0" xfId="1" applyNumberFormat="1" applyFont="1" applyFill="1" applyAlignment="1">
      <alignment horizontal="center"/>
    </xf>
    <xf numFmtId="170" fontId="29" fillId="2" borderId="0" xfId="1" applyNumberFormat="1" applyFont="1" applyFill="1" applyAlignment="1">
      <alignment horizontal="center"/>
    </xf>
    <xf numFmtId="170" fontId="28" fillId="2" borderId="0" xfId="1" applyNumberFormat="1" applyFont="1" applyFill="1" applyAlignment="1">
      <alignment horizontal="center"/>
    </xf>
    <xf numFmtId="166" fontId="28" fillId="2" borderId="0" xfId="1" applyNumberFormat="1" applyFont="1" applyFill="1" applyAlignment="1">
      <alignment horizontal="center"/>
    </xf>
    <xf numFmtId="170" fontId="38" fillId="2" borderId="0" xfId="1" applyNumberFormat="1" applyFont="1" applyFill="1" applyAlignment="1">
      <alignment horizontal="center"/>
    </xf>
    <xf numFmtId="0" fontId="38" fillId="10" borderId="0" xfId="1" applyFont="1" applyFill="1" applyAlignment="1">
      <alignment horizontal="center"/>
    </xf>
    <xf numFmtId="166" fontId="38" fillId="2" borderId="0" xfId="1" applyNumberFormat="1" applyFont="1" applyFill="1" applyAlignment="1">
      <alignment horizontal="center"/>
    </xf>
    <xf numFmtId="170" fontId="31" fillId="2" borderId="0" xfId="1" applyNumberFormat="1" applyFont="1" applyFill="1" applyAlignment="1">
      <alignment horizontal="center"/>
    </xf>
    <xf numFmtId="14" fontId="31" fillId="2" borderId="0" xfId="1" applyNumberFormat="1" applyFont="1" applyFill="1" applyAlignment="1">
      <alignment horizontal="center" vertical="center" wrapText="1"/>
    </xf>
    <xf numFmtId="0" fontId="48" fillId="2" borderId="0" xfId="1" applyFont="1" applyFill="1" applyAlignment="1">
      <alignment horizontal="center" vertical="center" wrapText="1"/>
    </xf>
    <xf numFmtId="0" fontId="31" fillId="2" borderId="0" xfId="1" applyFont="1" applyFill="1" applyAlignment="1">
      <alignment horizontal="center" vertical="center" wrapText="1"/>
    </xf>
    <xf numFmtId="0" fontId="28" fillId="3" borderId="0" xfId="1" applyFont="1" applyFill="1" applyAlignment="1">
      <alignment horizontal="center" vertical="center" wrapText="1"/>
    </xf>
    <xf numFmtId="0" fontId="32" fillId="4" borderId="0" xfId="1" applyFont="1" applyFill="1" applyAlignment="1">
      <alignment horizontal="center" vertical="center" wrapText="1"/>
    </xf>
    <xf numFmtId="0" fontId="31" fillId="5" borderId="0" xfId="1" applyFont="1" applyFill="1" applyAlignment="1">
      <alignment horizontal="center" vertical="center" wrapText="1"/>
    </xf>
    <xf numFmtId="0" fontId="31" fillId="9" borderId="0" xfId="1" applyFont="1" applyFill="1" applyAlignment="1">
      <alignment horizontal="center" vertical="center" wrapText="1"/>
    </xf>
    <xf numFmtId="0" fontId="31" fillId="10" borderId="0" xfId="1" applyFont="1" applyFill="1" applyAlignment="1">
      <alignment horizontal="center" vertical="center" wrapText="1"/>
    </xf>
    <xf numFmtId="169" fontId="31" fillId="2" borderId="0" xfId="1" applyNumberFormat="1" applyFont="1" applyFill="1" applyAlignment="1">
      <alignment horizontal="center" vertical="center" wrapText="1"/>
    </xf>
    <xf numFmtId="0" fontId="30" fillId="2" borderId="0" xfId="1" applyFont="1" applyFill="1" applyAlignment="1">
      <alignment horizontal="center" vertical="center" wrapText="1"/>
    </xf>
    <xf numFmtId="0" fontId="48" fillId="2" borderId="0" xfId="1" applyFont="1" applyFill="1" applyAlignment="1">
      <alignment horizontal="center"/>
    </xf>
    <xf numFmtId="0" fontId="49" fillId="2" borderId="0" xfId="1" applyFont="1" applyFill="1" applyAlignment="1">
      <alignment horizontal="center" vertical="center" wrapText="1"/>
    </xf>
    <xf numFmtId="169" fontId="30" fillId="2" borderId="0" xfId="1" applyNumberFormat="1" applyFont="1" applyFill="1" applyAlignment="1">
      <alignment horizontal="center" vertical="center" wrapText="1"/>
    </xf>
    <xf numFmtId="14" fontId="28" fillId="2" borderId="0" xfId="1" applyNumberFormat="1" applyFont="1" applyFill="1" applyAlignment="1">
      <alignment horizontal="center" vertical="center" wrapText="1"/>
    </xf>
    <xf numFmtId="0" fontId="51" fillId="2" borderId="0" xfId="1" applyFont="1" applyFill="1" applyAlignment="1">
      <alignment horizontal="center" vertical="center" wrapText="1"/>
    </xf>
    <xf numFmtId="169" fontId="28" fillId="2" borderId="0" xfId="1" applyNumberFormat="1" applyFont="1" applyFill="1" applyAlignment="1">
      <alignment horizontal="center" vertical="center" wrapText="1"/>
    </xf>
    <xf numFmtId="0" fontId="28" fillId="2" borderId="0" xfId="1" applyFont="1" applyFill="1" applyAlignment="1">
      <alignment horizontal="center" vertical="center" wrapText="1"/>
    </xf>
    <xf numFmtId="0" fontId="28" fillId="5" borderId="0" xfId="1" applyFont="1" applyFill="1" applyAlignment="1">
      <alignment horizontal="center" vertical="center" wrapText="1"/>
    </xf>
    <xf numFmtId="0" fontId="28" fillId="9" borderId="0" xfId="1" applyFont="1" applyFill="1" applyAlignment="1">
      <alignment horizontal="center" vertical="center" wrapText="1"/>
    </xf>
    <xf numFmtId="0" fontId="28" fillId="10" borderId="0" xfId="1" applyFont="1" applyFill="1" applyAlignment="1">
      <alignment horizontal="center" vertical="center" wrapText="1"/>
    </xf>
    <xf numFmtId="0" fontId="52" fillId="2" borderId="0" xfId="1" applyFont="1" applyFill="1" applyAlignment="1">
      <alignment horizontal="center"/>
    </xf>
    <xf numFmtId="0" fontId="28" fillId="4" borderId="0" xfId="1" applyFont="1" applyFill="1" applyAlignment="1">
      <alignment horizontal="center" vertical="center" wrapText="1"/>
    </xf>
    <xf numFmtId="14" fontId="30" fillId="2" borderId="0" xfId="1" applyNumberFormat="1" applyFont="1" applyFill="1" applyAlignment="1">
      <alignment horizontal="center" vertical="center" wrapText="1"/>
    </xf>
    <xf numFmtId="0" fontId="30" fillId="5" borderId="0" xfId="1" applyFont="1" applyFill="1" applyAlignment="1">
      <alignment horizontal="center" vertical="center" wrapText="1"/>
    </xf>
    <xf numFmtId="0" fontId="30" fillId="9" borderId="0" xfId="1" applyFont="1" applyFill="1" applyAlignment="1">
      <alignment horizontal="center" vertical="center" wrapText="1"/>
    </xf>
    <xf numFmtId="0" fontId="30" fillId="10" borderId="0" xfId="1" applyFont="1" applyFill="1" applyAlignment="1">
      <alignment horizontal="center" vertical="center" wrapText="1"/>
    </xf>
    <xf numFmtId="0" fontId="29" fillId="12" borderId="0" xfId="1" applyFont="1" applyFill="1" applyAlignment="1">
      <alignment horizontal="center"/>
    </xf>
    <xf numFmtId="0" fontId="34" fillId="3" borderId="0" xfId="1" applyFont="1" applyFill="1" applyAlignment="1">
      <alignment horizontal="center" vertical="center" wrapText="1"/>
    </xf>
    <xf numFmtId="0" fontId="36" fillId="4" borderId="0" xfId="1" applyFont="1" applyFill="1" applyAlignment="1">
      <alignment horizontal="center" vertical="center" wrapText="1"/>
    </xf>
    <xf numFmtId="0" fontId="38" fillId="2" borderId="3" xfId="1" applyFont="1" applyFill="1" applyBorder="1" applyAlignment="1">
      <alignment horizontal="center" vertical="center" wrapText="1"/>
    </xf>
    <xf numFmtId="0" fontId="38" fillId="2" borderId="0" xfId="1" applyFont="1" applyFill="1" applyAlignment="1">
      <alignment horizontal="center" vertical="center" wrapText="1"/>
    </xf>
    <xf numFmtId="0" fontId="38" fillId="11" borderId="0" xfId="1" applyFont="1" applyFill="1" applyAlignment="1">
      <alignment horizontal="center" vertical="center" wrapText="1"/>
    </xf>
    <xf numFmtId="0" fontId="38" fillId="12" borderId="0" xfId="1" applyFont="1" applyFill="1" applyAlignment="1">
      <alignment horizontal="center" vertical="center" wrapText="1"/>
    </xf>
    <xf numFmtId="0" fontId="1" fillId="0" borderId="0" xfId="1" applyAlignment="1">
      <alignment wrapText="1"/>
    </xf>
    <xf numFmtId="14" fontId="28" fillId="2" borderId="3" xfId="1" applyNumberFormat="1" applyFont="1" applyFill="1" applyBorder="1" applyAlignment="1">
      <alignment horizontal="center" wrapText="1"/>
    </xf>
    <xf numFmtId="0" fontId="52" fillId="2" borderId="0" xfId="1" applyFont="1" applyFill="1" applyAlignment="1">
      <alignment horizontal="center" wrapText="1"/>
    </xf>
    <xf numFmtId="0" fontId="28" fillId="2" borderId="0" xfId="1" applyFont="1" applyFill="1" applyAlignment="1">
      <alignment horizontal="center" wrapText="1"/>
    </xf>
    <xf numFmtId="0" fontId="28" fillId="3" borderId="0" xfId="1" applyFont="1" applyFill="1" applyAlignment="1">
      <alignment horizontal="center" wrapText="1"/>
    </xf>
    <xf numFmtId="0" fontId="32" fillId="4" borderId="0" xfId="1" applyFont="1" applyFill="1" applyAlignment="1">
      <alignment horizontal="center" wrapText="1"/>
    </xf>
    <xf numFmtId="0" fontId="28" fillId="11" borderId="0" xfId="1" applyFont="1" applyFill="1" applyAlignment="1">
      <alignment horizontal="center" wrapText="1"/>
    </xf>
    <xf numFmtId="0" fontId="28" fillId="12" borderId="0" xfId="1" applyFont="1" applyFill="1" applyAlignment="1">
      <alignment horizontal="center" wrapText="1"/>
    </xf>
    <xf numFmtId="14" fontId="29" fillId="2" borderId="3" xfId="1" applyNumberFormat="1" applyFont="1" applyFill="1" applyBorder="1" applyAlignment="1">
      <alignment horizontal="center" wrapText="1"/>
    </xf>
    <xf numFmtId="0" fontId="47" fillId="2" borderId="0" xfId="1" applyFont="1" applyFill="1" applyAlignment="1">
      <alignment horizontal="center" wrapText="1"/>
    </xf>
    <xf numFmtId="0" fontId="29" fillId="2" borderId="0" xfId="1" applyFont="1" applyFill="1" applyAlignment="1">
      <alignment horizontal="center" wrapText="1"/>
    </xf>
    <xf numFmtId="0" fontId="34" fillId="3" borderId="0" xfId="1" applyFont="1" applyFill="1" applyAlignment="1">
      <alignment horizontal="center" wrapText="1"/>
    </xf>
    <xf numFmtId="0" fontId="36" fillId="4" borderId="0" xfId="1" applyFont="1" applyFill="1" applyAlignment="1">
      <alignment horizontal="center" wrapText="1"/>
    </xf>
    <xf numFmtId="0" fontId="29" fillId="11" borderId="0" xfId="1" applyFont="1" applyFill="1" applyAlignment="1">
      <alignment horizontal="center" wrapText="1"/>
    </xf>
    <xf numFmtId="0" fontId="29" fillId="12" borderId="0" xfId="1" applyFont="1" applyFill="1" applyAlignment="1">
      <alignment horizontal="center" wrapText="1"/>
    </xf>
    <xf numFmtId="0" fontId="38" fillId="2" borderId="0" xfId="1" applyFont="1" applyFill="1" applyAlignment="1">
      <alignment horizontal="center" wrapText="1"/>
    </xf>
    <xf numFmtId="0" fontId="38" fillId="12" borderId="0" xfId="1" applyFont="1" applyFill="1" applyAlignment="1">
      <alignment horizontal="center" wrapText="1"/>
    </xf>
    <xf numFmtId="14" fontId="29" fillId="9" borderId="3" xfId="1" applyNumberFormat="1" applyFont="1" applyFill="1" applyBorder="1" applyAlignment="1">
      <alignment horizontal="center" wrapText="1"/>
    </xf>
    <xf numFmtId="0" fontId="47" fillId="9" borderId="0" xfId="1" applyFont="1" applyFill="1" applyAlignment="1">
      <alignment horizontal="center" wrapText="1"/>
    </xf>
    <xf numFmtId="0" fontId="29" fillId="9" borderId="0" xfId="1" applyFont="1" applyFill="1" applyAlignment="1">
      <alignment horizontal="center" wrapText="1"/>
    </xf>
    <xf numFmtId="0" fontId="31" fillId="11" borderId="0" xfId="1" applyFont="1" applyFill="1" applyAlignment="1">
      <alignment horizontal="center" wrapText="1"/>
    </xf>
    <xf numFmtId="0" fontId="29" fillId="2" borderId="3" xfId="1" applyFont="1" applyFill="1" applyBorder="1" applyAlignment="1">
      <alignment horizontal="center" wrapText="1"/>
    </xf>
    <xf numFmtId="0" fontId="28" fillId="4" borderId="0" xfId="1" applyFont="1" applyFill="1" applyAlignment="1">
      <alignment horizontal="center" wrapText="1"/>
    </xf>
    <xf numFmtId="14" fontId="38" fillId="2" borderId="3" xfId="1" applyNumberFormat="1" applyFont="1" applyFill="1" applyBorder="1" applyAlignment="1">
      <alignment horizontal="center" wrapText="1"/>
    </xf>
    <xf numFmtId="0" fontId="38" fillId="11" borderId="0" xfId="1" applyFont="1" applyFill="1" applyAlignment="1">
      <alignment horizontal="center" wrapText="1"/>
    </xf>
    <xf numFmtId="0" fontId="41" fillId="0" borderId="2" xfId="1" applyFont="1" applyBorder="1" applyAlignment="1">
      <alignment horizontal="center" wrapText="1"/>
    </xf>
    <xf numFmtId="0" fontId="29" fillId="4" borderId="0" xfId="1" applyFont="1" applyFill="1" applyAlignment="1">
      <alignment horizontal="center" wrapText="1"/>
    </xf>
    <xf numFmtId="14" fontId="31" fillId="2" borderId="3" xfId="1" applyNumberFormat="1" applyFont="1" applyFill="1" applyBorder="1" applyAlignment="1">
      <alignment horizontal="center" wrapText="1"/>
    </xf>
    <xf numFmtId="0" fontId="30" fillId="2" borderId="0" xfId="1" applyFont="1" applyFill="1" applyAlignment="1">
      <alignment horizontal="center" wrapText="1"/>
    </xf>
    <xf numFmtId="0" fontId="31" fillId="2" borderId="0" xfId="1" applyFont="1" applyFill="1" applyAlignment="1">
      <alignment horizontal="center" wrapText="1"/>
    </xf>
    <xf numFmtId="0" fontId="31" fillId="3" borderId="0" xfId="1" applyFont="1" applyFill="1" applyAlignment="1">
      <alignment horizontal="center" wrapText="1"/>
    </xf>
    <xf numFmtId="0" fontId="31" fillId="12" borderId="0" xfId="1" applyFont="1" applyFill="1" applyAlignment="1">
      <alignment horizontal="center" wrapText="1"/>
    </xf>
    <xf numFmtId="0" fontId="30" fillId="11" borderId="0" xfId="1" applyFont="1" applyFill="1" applyAlignment="1">
      <alignment horizontal="center" wrapText="1"/>
    </xf>
    <xf numFmtId="0" fontId="30" fillId="12" borderId="0" xfId="1" applyFont="1" applyFill="1" applyAlignment="1">
      <alignment horizontal="center" wrapText="1"/>
    </xf>
    <xf numFmtId="14" fontId="30" fillId="2" borderId="3" xfId="1" applyNumberFormat="1" applyFont="1" applyFill="1" applyBorder="1" applyAlignment="1">
      <alignment horizontal="center" wrapText="1"/>
    </xf>
    <xf numFmtId="0" fontId="38" fillId="2" borderId="3" xfId="1" applyFont="1" applyFill="1" applyBorder="1" applyAlignment="1">
      <alignment horizontal="center" wrapText="1"/>
    </xf>
    <xf numFmtId="14" fontId="28" fillId="2" borderId="3" xfId="1" applyNumberFormat="1" applyFont="1" applyFill="1" applyBorder="1" applyAlignment="1">
      <alignment horizontal="center" vertical="center" wrapText="1"/>
    </xf>
    <xf numFmtId="0" fontId="52" fillId="2" borderId="0" xfId="1" applyFont="1" applyFill="1" applyAlignment="1">
      <alignment horizontal="center" vertical="center" wrapText="1"/>
    </xf>
    <xf numFmtId="0" fontId="28" fillId="3" borderId="0" xfId="1" applyFont="1" applyFill="1" applyAlignment="1">
      <alignment horizontal="center" vertical="center" wrapText="1"/>
    </xf>
    <xf numFmtId="0" fontId="28" fillId="4" borderId="0" xfId="1" applyFont="1" applyFill="1" applyAlignment="1">
      <alignment horizontal="center" vertical="center" wrapText="1"/>
    </xf>
    <xf numFmtId="0" fontId="28" fillId="11" borderId="0" xfId="1" applyFont="1" applyFill="1" applyAlignment="1">
      <alignment horizontal="center" vertical="center" wrapText="1"/>
    </xf>
    <xf numFmtId="0" fontId="28" fillId="12" borderId="0" xfId="1" applyFont="1" applyFill="1" applyAlignment="1">
      <alignment horizontal="center" vertical="center" wrapText="1"/>
    </xf>
    <xf numFmtId="0" fontId="29" fillId="0" borderId="3" xfId="1" applyFont="1" applyBorder="1" applyAlignment="1">
      <alignment wrapText="1"/>
    </xf>
    <xf numFmtId="0" fontId="1" fillId="0" borderId="0" xfId="1" applyAlignment="1">
      <alignment wrapText="1"/>
    </xf>
    <xf numFmtId="14" fontId="29" fillId="2" borderId="3" xfId="1" applyNumberFormat="1" applyFont="1" applyFill="1" applyBorder="1" applyAlignment="1">
      <alignment horizontal="center" vertical="center" wrapText="1"/>
    </xf>
    <xf numFmtId="0" fontId="47" fillId="2" borderId="0" xfId="1" applyFont="1" applyFill="1" applyAlignment="1">
      <alignment horizontal="center" vertical="center" wrapText="1"/>
    </xf>
    <xf numFmtId="0" fontId="29" fillId="2" borderId="0" xfId="1" applyFont="1" applyFill="1" applyAlignment="1">
      <alignment horizontal="center" vertical="center" wrapText="1"/>
    </xf>
    <xf numFmtId="0" fontId="29" fillId="11" borderId="0" xfId="1" applyFont="1" applyFill="1" applyAlignment="1">
      <alignment horizontal="center" vertical="center" wrapText="1"/>
    </xf>
    <xf numFmtId="0" fontId="29" fillId="12" borderId="0" xfId="1" applyFont="1" applyFill="1" applyAlignment="1">
      <alignment horizontal="center" vertical="center" wrapText="1"/>
    </xf>
    <xf numFmtId="0" fontId="52" fillId="2" borderId="0" xfId="1" applyFont="1" applyFill="1" applyAlignment="1">
      <alignment horizontal="center" vertical="center" wrapText="1"/>
    </xf>
    <xf numFmtId="0" fontId="38" fillId="0" borderId="7" xfId="1" applyFont="1" applyBorder="1" applyAlignment="1">
      <alignment horizontal="center" vertical="center" wrapText="1"/>
    </xf>
    <xf numFmtId="0" fontId="38" fillId="2" borderId="8" xfId="1" applyFont="1" applyFill="1" applyBorder="1" applyAlignment="1">
      <alignment horizontal="center" vertical="center" wrapText="1"/>
    </xf>
    <xf numFmtId="174" fontId="38" fillId="2" borderId="0" xfId="1" applyNumberFormat="1" applyFont="1" applyFill="1" applyAlignment="1">
      <alignment horizontal="center" vertical="center" wrapText="1"/>
    </xf>
    <xf numFmtId="0" fontId="38" fillId="0" borderId="9" xfId="1" applyFont="1" applyBorder="1" applyAlignment="1">
      <alignment wrapText="1"/>
    </xf>
    <xf numFmtId="14" fontId="29" fillId="2" borderId="10" xfId="1" applyNumberFormat="1" applyFont="1" applyFill="1" applyBorder="1" applyAlignment="1">
      <alignment horizontal="center" vertical="center" wrapText="1"/>
    </xf>
    <xf numFmtId="0" fontId="29" fillId="2" borderId="11" xfId="1" applyFont="1" applyFill="1" applyBorder="1" applyAlignment="1">
      <alignment horizontal="center" vertical="center" wrapText="1"/>
    </xf>
    <xf numFmtId="174" fontId="29" fillId="2" borderId="11" xfId="1" applyNumberFormat="1" applyFont="1" applyFill="1" applyBorder="1" applyAlignment="1">
      <alignment horizontal="center" vertical="center" wrapText="1"/>
    </xf>
    <xf numFmtId="0" fontId="34" fillId="3" borderId="11" xfId="1" applyFont="1" applyFill="1" applyBorder="1" applyAlignment="1">
      <alignment horizontal="center" vertical="center" wrapText="1"/>
    </xf>
    <xf numFmtId="0" fontId="36" fillId="4" borderId="11" xfId="1" applyFont="1" applyFill="1" applyBorder="1" applyAlignment="1">
      <alignment horizontal="center" vertical="center" wrapText="1"/>
    </xf>
    <xf numFmtId="0" fontId="29" fillId="11" borderId="11" xfId="1" applyFont="1" applyFill="1" applyBorder="1" applyAlignment="1">
      <alignment horizontal="center" vertical="center" wrapText="1"/>
    </xf>
    <xf numFmtId="0" fontId="29" fillId="12" borderId="11" xfId="1" applyFont="1" applyFill="1" applyBorder="1" applyAlignment="1">
      <alignment horizontal="center" vertical="center" wrapText="1"/>
    </xf>
    <xf numFmtId="0" fontId="29" fillId="0" borderId="9" xfId="1" applyFont="1" applyBorder="1" applyAlignment="1">
      <alignment horizontal="left" wrapText="1"/>
    </xf>
    <xf numFmtId="14" fontId="29" fillId="2" borderId="12" xfId="1" applyNumberFormat="1" applyFont="1" applyFill="1" applyBorder="1" applyAlignment="1">
      <alignment horizontal="center" vertical="center" wrapText="1"/>
    </xf>
    <xf numFmtId="0" fontId="29" fillId="2" borderId="13" xfId="1" applyFont="1" applyFill="1" applyBorder="1" applyAlignment="1">
      <alignment horizontal="center" vertical="center" wrapText="1"/>
    </xf>
    <xf numFmtId="174" fontId="29" fillId="2" borderId="13" xfId="1" applyNumberFormat="1" applyFont="1" applyFill="1" applyBorder="1" applyAlignment="1">
      <alignment horizontal="center" vertical="center" wrapText="1"/>
    </xf>
    <xf numFmtId="0" fontId="34" fillId="3" borderId="13" xfId="1" applyFont="1" applyFill="1" applyBorder="1" applyAlignment="1">
      <alignment horizontal="center" vertical="center" wrapText="1"/>
    </xf>
    <xf numFmtId="0" fontId="36" fillId="4" borderId="13" xfId="1" applyFont="1" applyFill="1" applyBorder="1" applyAlignment="1">
      <alignment horizontal="center" vertical="center" wrapText="1"/>
    </xf>
    <xf numFmtId="0" fontId="29" fillId="11" borderId="13" xfId="1" applyFont="1" applyFill="1" applyBorder="1" applyAlignment="1">
      <alignment horizontal="center" vertical="center" wrapText="1"/>
    </xf>
    <xf numFmtId="0" fontId="29" fillId="12" borderId="13" xfId="1" applyFont="1" applyFill="1" applyBorder="1" applyAlignment="1">
      <alignment horizontal="center" vertical="center" wrapText="1"/>
    </xf>
    <xf numFmtId="0" fontId="29" fillId="0" borderId="9" xfId="1" applyFont="1" applyBorder="1" applyAlignment="1">
      <alignment wrapText="1"/>
    </xf>
    <xf numFmtId="0" fontId="38" fillId="2" borderId="13" xfId="1" applyFont="1" applyFill="1" applyBorder="1" applyAlignment="1">
      <alignment horizontal="center" vertical="center" wrapText="1"/>
    </xf>
    <xf numFmtId="0" fontId="38" fillId="0" borderId="9" xfId="1" applyFont="1" applyBorder="1" applyAlignment="1">
      <alignment horizontal="left" wrapText="1"/>
    </xf>
    <xf numFmtId="14" fontId="28" fillId="2" borderId="12" xfId="1" applyNumberFormat="1" applyFont="1" applyFill="1" applyBorder="1" applyAlignment="1">
      <alignment horizontal="center" vertical="center" wrapText="1"/>
    </xf>
    <xf numFmtId="0" fontId="28" fillId="2" borderId="13" xfId="1" applyFont="1" applyFill="1" applyBorder="1" applyAlignment="1">
      <alignment horizontal="center" vertical="center" wrapText="1"/>
    </xf>
    <xf numFmtId="174" fontId="28" fillId="2" borderId="13" xfId="1" applyNumberFormat="1" applyFont="1" applyFill="1" applyBorder="1" applyAlignment="1">
      <alignment horizontal="center" vertical="center" wrapText="1"/>
    </xf>
    <xf numFmtId="0" fontId="28" fillId="3" borderId="13" xfId="1" applyFont="1" applyFill="1" applyBorder="1" applyAlignment="1">
      <alignment horizontal="center" vertical="center" wrapText="1"/>
    </xf>
    <xf numFmtId="0" fontId="32" fillId="4" borderId="13" xfId="1" applyFont="1" applyFill="1" applyBorder="1" applyAlignment="1">
      <alignment horizontal="center" vertical="center" wrapText="1"/>
    </xf>
    <xf numFmtId="0" fontId="28" fillId="11" borderId="13" xfId="1" applyFont="1" applyFill="1" applyBorder="1" applyAlignment="1">
      <alignment horizontal="center" vertical="center" wrapText="1"/>
    </xf>
    <xf numFmtId="0" fontId="28" fillId="12" borderId="13" xfId="1" applyFont="1" applyFill="1" applyBorder="1" applyAlignment="1">
      <alignment horizontal="center" vertical="center" wrapText="1"/>
    </xf>
    <xf numFmtId="0" fontId="44" fillId="0" borderId="9" xfId="1" applyFont="1" applyBorder="1" applyAlignment="1">
      <alignment wrapText="1"/>
    </xf>
    <xf numFmtId="0" fontId="29" fillId="0" borderId="9" xfId="1" applyFont="1" applyBorder="1" applyAlignment="1">
      <alignment wrapText="1"/>
    </xf>
    <xf numFmtId="14" fontId="38" fillId="2" borderId="12" xfId="1" applyNumberFormat="1" applyFont="1" applyFill="1" applyBorder="1" applyAlignment="1">
      <alignment horizontal="center" vertical="center" wrapText="1"/>
    </xf>
    <xf numFmtId="174" fontId="38" fillId="2" borderId="13" xfId="1" applyNumberFormat="1" applyFont="1" applyFill="1" applyBorder="1" applyAlignment="1">
      <alignment horizontal="center" vertical="center" wrapText="1"/>
    </xf>
    <xf numFmtId="0" fontId="38" fillId="11" borderId="13" xfId="1" applyFont="1" applyFill="1" applyBorder="1" applyAlignment="1">
      <alignment horizontal="center" vertical="center" wrapText="1"/>
    </xf>
    <xf numFmtId="0" fontId="38" fillId="12" borderId="13" xfId="1" applyFont="1" applyFill="1" applyBorder="1" applyAlignment="1">
      <alignment horizontal="center" vertical="center" wrapText="1"/>
    </xf>
    <xf numFmtId="0" fontId="50" fillId="0" borderId="9" xfId="1" applyFont="1" applyBorder="1" applyAlignment="1">
      <alignment horizontal="left" wrapText="1"/>
    </xf>
    <xf numFmtId="0" fontId="28" fillId="0" borderId="9" xfId="1" applyFont="1" applyBorder="1" applyAlignment="1">
      <alignment horizontal="left" wrapText="1"/>
    </xf>
    <xf numFmtId="0" fontId="32" fillId="0" borderId="9" xfId="1" applyFont="1" applyBorder="1" applyAlignment="1">
      <alignment horizontal="left" wrapText="1"/>
    </xf>
    <xf numFmtId="0" fontId="29" fillId="0" borderId="9" xfId="1" applyFont="1" applyBorder="1" applyAlignment="1">
      <alignment horizontal="left" vertical="center" wrapText="1"/>
    </xf>
    <xf numFmtId="14" fontId="53" fillId="2" borderId="12" xfId="1" applyNumberFormat="1" applyFont="1" applyFill="1" applyBorder="1" applyAlignment="1">
      <alignment horizontal="center" vertical="center" wrapText="1"/>
    </xf>
    <xf numFmtId="0" fontId="53" fillId="2" borderId="13" xfId="1" applyFont="1" applyFill="1" applyBorder="1" applyAlignment="1">
      <alignment horizontal="center" vertical="center" wrapText="1"/>
    </xf>
    <xf numFmtId="174" fontId="53" fillId="2" borderId="13" xfId="1" applyNumberFormat="1" applyFont="1" applyFill="1" applyBorder="1" applyAlignment="1">
      <alignment horizontal="center" vertical="center" wrapText="1"/>
    </xf>
    <xf numFmtId="0" fontId="54" fillId="3" borderId="13" xfId="1" applyFont="1" applyFill="1" applyBorder="1" applyAlignment="1">
      <alignment horizontal="center" vertical="center" wrapText="1"/>
    </xf>
    <xf numFmtId="0" fontId="55" fillId="4" borderId="13" xfId="1" applyFont="1" applyFill="1" applyBorder="1" applyAlignment="1">
      <alignment horizontal="center" vertical="center" wrapText="1"/>
    </xf>
    <xf numFmtId="0" fontId="53" fillId="11" borderId="13" xfId="1" applyFont="1" applyFill="1" applyBorder="1" applyAlignment="1">
      <alignment horizontal="center" vertical="center" wrapText="1"/>
    </xf>
    <xf numFmtId="0" fontId="53" fillId="12" borderId="13" xfId="1" applyFont="1" applyFill="1" applyBorder="1" applyAlignment="1">
      <alignment horizontal="center" vertical="center" wrapText="1"/>
    </xf>
    <xf numFmtId="174" fontId="28" fillId="2" borderId="13" xfId="1" quotePrefix="1" applyNumberFormat="1" applyFont="1" applyFill="1" applyBorder="1" applyAlignment="1">
      <alignment horizontal="center" vertical="center" wrapText="1"/>
    </xf>
    <xf numFmtId="174" fontId="29" fillId="2" borderId="13" xfId="1" quotePrefix="1" applyNumberFormat="1" applyFont="1" applyFill="1" applyBorder="1" applyAlignment="1">
      <alignment horizontal="center" vertical="center" wrapText="1"/>
    </xf>
    <xf numFmtId="0" fontId="31" fillId="11" borderId="13" xfId="1" applyFont="1" applyFill="1" applyBorder="1" applyAlignment="1">
      <alignment horizontal="center" vertical="center" wrapText="1"/>
    </xf>
    <xf numFmtId="0" fontId="30" fillId="11" borderId="13" xfId="1" applyFont="1" applyFill="1" applyBorder="1" applyAlignment="1">
      <alignment horizontal="center" vertical="center" wrapText="1"/>
    </xf>
    <xf numFmtId="0" fontId="29" fillId="2" borderId="12" xfId="1" applyFont="1" applyFill="1" applyBorder="1" applyAlignment="1">
      <alignment horizontal="center" vertical="center" wrapText="1"/>
    </xf>
    <xf numFmtId="0" fontId="31" fillId="2" borderId="13" xfId="1" applyFont="1" applyFill="1" applyBorder="1" applyAlignment="1">
      <alignment horizontal="center" vertical="center" wrapText="1"/>
    </xf>
    <xf numFmtId="0" fontId="30" fillId="12" borderId="13" xfId="1" applyFont="1" applyFill="1" applyBorder="1" applyAlignment="1">
      <alignment horizontal="center" vertical="center" wrapText="1"/>
    </xf>
    <xf numFmtId="0" fontId="56" fillId="11" borderId="13" xfId="1" applyFont="1" applyFill="1" applyBorder="1" applyAlignment="1">
      <alignment horizontal="center" vertical="center" wrapText="1"/>
    </xf>
    <xf numFmtId="0" fontId="28" fillId="3" borderId="14" xfId="1" applyFont="1" applyFill="1" applyBorder="1" applyAlignment="1">
      <alignment horizontal="center" vertical="center" wrapText="1"/>
    </xf>
    <xf numFmtId="0" fontId="32" fillId="4" borderId="14" xfId="1" applyFont="1" applyFill="1" applyBorder="1" applyAlignment="1">
      <alignment horizontal="center" vertical="center" wrapText="1"/>
    </xf>
    <xf numFmtId="0" fontId="29" fillId="0" borderId="11" xfId="1" applyFont="1" applyBorder="1" applyAlignment="1">
      <alignment wrapText="1"/>
    </xf>
    <xf numFmtId="14" fontId="29" fillId="2" borderId="15" xfId="1" applyNumberFormat="1" applyFont="1" applyFill="1" applyBorder="1" applyAlignment="1">
      <alignment horizontal="center" vertical="center" wrapText="1"/>
    </xf>
    <xf numFmtId="0" fontId="29" fillId="11" borderId="14" xfId="1" applyFont="1" applyFill="1" applyBorder="1" applyAlignment="1">
      <alignment horizontal="center" vertical="center" wrapText="1"/>
    </xf>
    <xf numFmtId="0" fontId="29" fillId="2" borderId="16" xfId="1" applyFont="1" applyFill="1" applyBorder="1" applyAlignment="1">
      <alignment horizontal="center" vertical="center" wrapText="1"/>
    </xf>
    <xf numFmtId="0" fontId="29" fillId="2" borderId="14" xfId="1" applyFont="1" applyFill="1" applyBorder="1" applyAlignment="1">
      <alignment horizontal="center" vertical="center" wrapText="1"/>
    </xf>
    <xf numFmtId="0" fontId="29" fillId="11" borderId="17" xfId="1" applyFont="1" applyFill="1" applyBorder="1" applyAlignment="1">
      <alignment horizontal="center" vertical="center" wrapText="1"/>
    </xf>
    <xf numFmtId="0" fontId="29" fillId="2" borderId="17" xfId="1" applyFont="1" applyFill="1" applyBorder="1" applyAlignment="1">
      <alignment horizontal="center" vertical="center" wrapText="1"/>
    </xf>
    <xf numFmtId="0" fontId="29" fillId="2" borderId="10" xfId="1" applyFont="1" applyFill="1" applyBorder="1" applyAlignment="1">
      <alignment horizontal="center" vertical="center" wrapText="1"/>
    </xf>
    <xf numFmtId="0" fontId="29" fillId="0" borderId="9" xfId="1" applyFont="1" applyBorder="1" applyAlignment="1">
      <alignment horizontal="left" vertical="center" wrapText="1"/>
    </xf>
    <xf numFmtId="0" fontId="38" fillId="2" borderId="14" xfId="1" applyFont="1" applyFill="1" applyBorder="1" applyAlignment="1">
      <alignment horizontal="center" vertical="center" wrapText="1"/>
    </xf>
    <xf numFmtId="0" fontId="34" fillId="3" borderId="14" xfId="1" applyFont="1" applyFill="1" applyBorder="1" applyAlignment="1">
      <alignment horizontal="center" vertical="center" wrapText="1"/>
    </xf>
    <xf numFmtId="0" fontId="36" fillId="4" borderId="14" xfId="1" applyFont="1" applyFill="1" applyBorder="1" applyAlignment="1">
      <alignment horizontal="center" vertical="center" wrapText="1"/>
    </xf>
    <xf numFmtId="0" fontId="34" fillId="3" borderId="17" xfId="1" applyFont="1" applyFill="1" applyBorder="1" applyAlignment="1">
      <alignment horizontal="center" vertical="center" wrapText="1"/>
    </xf>
    <xf numFmtId="0" fontId="28" fillId="3" borderId="17" xfId="1" applyFont="1" applyFill="1" applyBorder="1" applyAlignment="1">
      <alignment horizontal="center" vertical="center" wrapText="1"/>
    </xf>
    <xf numFmtId="0" fontId="28" fillId="11" borderId="14" xfId="1" applyFont="1" applyFill="1" applyBorder="1" applyAlignment="1">
      <alignment horizontal="center" vertical="center" wrapText="1"/>
    </xf>
    <xf numFmtId="0" fontId="28" fillId="4" borderId="13" xfId="1" applyFont="1" applyFill="1" applyBorder="1" applyAlignment="1">
      <alignment horizontal="center" vertical="center" wrapText="1"/>
    </xf>
    <xf numFmtId="0" fontId="29" fillId="7" borderId="9" xfId="1" applyFont="1" applyFill="1" applyBorder="1" applyAlignment="1">
      <alignment horizontal="left" wrapText="1"/>
    </xf>
    <xf numFmtId="0" fontId="29" fillId="7" borderId="9" xfId="1" applyFont="1" applyFill="1" applyBorder="1" applyAlignment="1">
      <alignment horizontal="left" vertical="center" wrapText="1"/>
    </xf>
    <xf numFmtId="0" fontId="29" fillId="7" borderId="9" xfId="1" applyFont="1" applyFill="1" applyBorder="1" applyAlignment="1">
      <alignment horizontal="left" wrapText="1"/>
    </xf>
    <xf numFmtId="0" fontId="29" fillId="7" borderId="18" xfId="1" applyFont="1" applyFill="1" applyBorder="1" applyAlignment="1">
      <alignment horizontal="left" wrapText="1"/>
    </xf>
  </cellXfs>
  <cellStyles count="2">
    <cellStyle name="Normal" xfId="0" builtinId="0"/>
    <cellStyle name="Normal 2" xfId="1" xr:uid="{C6BDCE9A-9B97-4B68-80CB-8BC438F72AE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Kathryn/Downloads/Earthquake%20Impact%20Database%2020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Kathryn/Downloads/Earthquake%20Impact%20Database%202019.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Kathryn/Downloads/Earthquake%20Impact%20Database%202018.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Kathryn/Downloads/Earthquake%20Impact%20Database%20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base"/>
      <sheetName val="Potential damaging events"/>
      <sheetName val="Statistic"/>
      <sheetName val="Values"/>
      <sheetName val="Continental"/>
      <sheetName val="Tabellenblatt6"/>
    </sheetNames>
    <sheetDataSet>
      <sheetData sheetId="0" refreshError="1"/>
      <sheetData sheetId="1" refreshError="1"/>
      <sheetData sheetId="2" refreshError="1"/>
      <sheetData sheetId="3">
        <row r="2">
          <cell r="A2">
            <v>2450.2128651281837</v>
          </cell>
        </row>
        <row r="8">
          <cell r="D8">
            <v>0.25319994848276134</v>
          </cell>
        </row>
        <row r="9">
          <cell r="D9">
            <v>1.8331733480278996E-2</v>
          </cell>
        </row>
        <row r="10">
          <cell r="D10">
            <v>9.2078316511217673E-3</v>
          </cell>
        </row>
        <row r="11">
          <cell r="D11">
            <v>3.120055770409514E-2</v>
          </cell>
        </row>
      </sheetData>
      <sheetData sheetId="4" refreshError="1"/>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base"/>
      <sheetName val="Statistic"/>
      <sheetName val="Values"/>
      <sheetName val="Continental"/>
      <sheetName val="Tabellenblatt5"/>
    </sheetNames>
    <sheetDataSet>
      <sheetData sheetId="0" refreshError="1"/>
      <sheetData sheetId="1" refreshError="1"/>
      <sheetData sheetId="2">
        <row r="2">
          <cell r="A2">
            <v>20393.233172212233</v>
          </cell>
        </row>
        <row r="8">
          <cell r="D8">
            <v>0.25344274940102945</v>
          </cell>
        </row>
        <row r="9">
          <cell r="D9">
            <v>1.8331049224958058E-2</v>
          </cell>
        </row>
        <row r="10">
          <cell r="D10">
            <v>9.2161858332374582E-3</v>
          </cell>
        </row>
        <row r="11">
          <cell r="D11">
            <v>3.0920457317609038E-2</v>
          </cell>
        </row>
      </sheetData>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base"/>
      <sheetName val="Statistic"/>
      <sheetName val="Continental"/>
      <sheetName val="Values"/>
      <sheetName val="Tabellenblatt5"/>
      <sheetName val="Tabellenblatt7"/>
    </sheetNames>
    <sheetDataSet>
      <sheetData sheetId="0" refreshError="1"/>
      <sheetData sheetId="1">
        <row r="2">
          <cell r="D2" t="str">
            <v>Fatalities</v>
          </cell>
        </row>
      </sheetData>
      <sheetData sheetId="2" refreshError="1"/>
      <sheetData sheetId="3">
        <row r="2">
          <cell r="A2">
            <v>35704.418761521942</v>
          </cell>
        </row>
        <row r="8">
          <cell r="D8">
            <v>0.25504237851529843</v>
          </cell>
        </row>
        <row r="9">
          <cell r="D9">
            <v>1.8354814773037222E-2</v>
          </cell>
        </row>
        <row r="10">
          <cell r="D10">
            <v>9.3460158981100543E-3</v>
          </cell>
        </row>
        <row r="11">
          <cell r="D11">
            <v>3.1630958985660561E-2</v>
          </cell>
        </row>
      </sheetData>
      <sheetData sheetId="4" refreshError="1"/>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base"/>
      <sheetName val="Statistic"/>
      <sheetName val="Continental"/>
      <sheetName val="Values"/>
      <sheetName val="Iran quake 1211"/>
      <sheetName val="Mexico 1909"/>
      <sheetName val="MEX 0908"/>
      <sheetName val="GTM 0614"/>
      <sheetName val="Tabellenblatt11"/>
    </sheetNames>
    <sheetDataSet>
      <sheetData sheetId="0"/>
      <sheetData sheetId="1"/>
      <sheetData sheetId="2"/>
      <sheetData sheetId="3">
        <row r="2">
          <cell r="A2">
            <v>48120.119785247392</v>
          </cell>
        </row>
        <row r="8">
          <cell r="D8">
            <v>0.25612054670000001</v>
          </cell>
        </row>
        <row r="9">
          <cell r="D9">
            <v>1.8819714099999999E-2</v>
          </cell>
        </row>
        <row r="10">
          <cell r="D10">
            <v>9.3239350099999993E-3</v>
          </cell>
        </row>
        <row r="11">
          <cell r="D11">
            <v>3.1471424669999998E-2</v>
          </cell>
        </row>
      </sheetData>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A01FC-11FB-4A2A-BC63-AE2389CC82D2}">
  <dimension ref="A1:C410"/>
  <sheetViews>
    <sheetView workbookViewId="0">
      <selection activeCell="C19" sqref="C19"/>
    </sheetView>
    <sheetView workbookViewId="1">
      <selection activeCell="C1" sqref="C1:C1048576"/>
    </sheetView>
  </sheetViews>
  <sheetFormatPr defaultRowHeight="14.4"/>
  <cols>
    <col min="1" max="1" width="39.89453125" style="299" customWidth="1"/>
    <col min="3" max="3" width="29.7890625" style="8" customWidth="1"/>
  </cols>
  <sheetData>
    <row r="1" spans="1:3">
      <c r="A1" s="349" t="s">
        <v>1467</v>
      </c>
      <c r="C1" s="214" t="s">
        <v>1467</v>
      </c>
    </row>
    <row r="2" spans="1:3">
      <c r="A2" s="352" t="s">
        <v>1469</v>
      </c>
      <c r="C2" s="186" t="s">
        <v>1080</v>
      </c>
    </row>
    <row r="3" spans="1:3">
      <c r="A3" s="360" t="s">
        <v>1474</v>
      </c>
      <c r="C3" s="186" t="s">
        <v>1083</v>
      </c>
    </row>
    <row r="4" spans="1:3">
      <c r="A4" s="368" t="s">
        <v>1476</v>
      </c>
      <c r="C4" s="204"/>
    </row>
    <row r="5" spans="1:3">
      <c r="A5" s="360" t="s">
        <v>1879</v>
      </c>
      <c r="C5" s="203" t="s">
        <v>16</v>
      </c>
    </row>
    <row r="6" spans="1:3">
      <c r="A6" s="368" t="s">
        <v>1480</v>
      </c>
      <c r="C6" s="203">
        <f>SUM(J2:J496)</f>
        <v>0</v>
      </c>
    </row>
    <row r="7" spans="1:3">
      <c r="A7" s="360" t="s">
        <v>1482</v>
      </c>
      <c r="C7" s="202" t="s">
        <v>28</v>
      </c>
    </row>
    <row r="8" spans="1:3">
      <c r="A8" s="368" t="s">
        <v>1944</v>
      </c>
      <c r="C8" s="201">
        <f>SUM(K2:K496)</f>
        <v>0</v>
      </c>
    </row>
    <row r="9" spans="1:3">
      <c r="A9" s="360" t="s">
        <v>1490</v>
      </c>
      <c r="C9" s="200" t="s">
        <v>38</v>
      </c>
    </row>
    <row r="10" spans="1:3">
      <c r="A10" s="352" t="s">
        <v>1882</v>
      </c>
      <c r="C10" s="200">
        <f>SUM(L2:L494)</f>
        <v>0</v>
      </c>
    </row>
    <row r="11" spans="1:3">
      <c r="A11" s="370" t="s">
        <v>1493</v>
      </c>
      <c r="C11" s="199" t="s">
        <v>48</v>
      </c>
    </row>
    <row r="12" spans="1:3">
      <c r="A12" s="352" t="s">
        <v>1495</v>
      </c>
      <c r="C12" s="190">
        <f>SUM(N2:N496)</f>
        <v>0</v>
      </c>
    </row>
    <row r="13" spans="1:3">
      <c r="A13" s="368"/>
      <c r="C13" s="199" t="s">
        <v>56</v>
      </c>
    </row>
    <row r="14" spans="1:3">
      <c r="A14" s="378" t="s">
        <v>1498</v>
      </c>
      <c r="C14" s="190">
        <f>SUM(O2:O500)</f>
        <v>0</v>
      </c>
    </row>
    <row r="15" spans="1:3">
      <c r="A15" s="379"/>
      <c r="C15" s="190" t="s">
        <v>1452</v>
      </c>
    </row>
    <row r="16" spans="1:3">
      <c r="A16" s="368"/>
      <c r="C16" s="189">
        <f>LOG(C6+([4]Values!$D$8*C8)+([4]Values!$D$9*C10)+(C12*[4]Values!$D$10)+(C14*[4]Values!$D$11)+1)</f>
        <v>0</v>
      </c>
    </row>
    <row r="17" spans="1:3">
      <c r="A17" s="368"/>
      <c r="C17" s="173"/>
    </row>
    <row r="18" spans="1:3">
      <c r="A18" s="360" t="s">
        <v>1885</v>
      </c>
      <c r="C18" s="186" t="s">
        <v>1098</v>
      </c>
    </row>
    <row r="19" spans="1:3">
      <c r="A19" s="360"/>
      <c r="C19" s="186" t="s">
        <v>1099</v>
      </c>
    </row>
    <row r="20" spans="1:3">
      <c r="A20" s="360" t="s">
        <v>1886</v>
      </c>
      <c r="C20" s="186"/>
    </row>
    <row r="21" spans="1:3">
      <c r="A21" s="360"/>
      <c r="C21" s="188" t="s">
        <v>1100</v>
      </c>
    </row>
    <row r="22" spans="1:3">
      <c r="A22" s="360" t="s">
        <v>1080</v>
      </c>
      <c r="C22" s="186"/>
    </row>
    <row r="23" spans="1:3">
      <c r="A23" s="368"/>
      <c r="C23" s="186"/>
    </row>
    <row r="24" spans="1:3">
      <c r="A24" s="384" t="s">
        <v>1887</v>
      </c>
      <c r="C24" s="187" t="s">
        <v>1448</v>
      </c>
    </row>
    <row r="25" spans="1:3">
      <c r="A25" s="368"/>
      <c r="C25" s="187"/>
    </row>
    <row r="26" spans="1:3">
      <c r="A26" s="385" t="s">
        <v>16</v>
      </c>
      <c r="C26" s="186"/>
    </row>
    <row r="27" spans="1:3">
      <c r="A27" s="385">
        <f>SUM(G1:G592)</f>
        <v>0</v>
      </c>
      <c r="C27" s="185" t="s">
        <v>1446</v>
      </c>
    </row>
    <row r="28" spans="1:3">
      <c r="A28" s="386" t="s">
        <v>28</v>
      </c>
      <c r="C28" s="185"/>
    </row>
    <row r="29" spans="1:3">
      <c r="A29" s="386">
        <f>SUM(H2:H593)</f>
        <v>0</v>
      </c>
      <c r="C29" s="185"/>
    </row>
    <row r="30" spans="1:3">
      <c r="A30" s="368"/>
      <c r="C30" s="183" t="s">
        <v>104</v>
      </c>
    </row>
    <row r="31" spans="1:3">
      <c r="A31" s="370" t="s">
        <v>1098</v>
      </c>
      <c r="C31" s="183"/>
    </row>
    <row r="32" spans="1:3">
      <c r="A32" s="370" t="s">
        <v>1099</v>
      </c>
      <c r="C32" s="183"/>
    </row>
    <row r="33" spans="1:3">
      <c r="A33" s="370" t="s">
        <v>1100</v>
      </c>
      <c r="C33" s="182" t="str">
        <f>HYPERLINK("https://docs.google.com/spreadsheet/ccc?key=0AtCxI-JffeJkdDRxRktjWDBOaXpaYm0tWkpxdkg3ZUE&amp;usp=drive_web#gid=0","Earthquake Impact Database 2013")</f>
        <v>Earthquake Impact Database 2013</v>
      </c>
    </row>
    <row r="34" spans="1:3">
      <c r="A34" s="387" t="s">
        <v>1953</v>
      </c>
      <c r="C34" s="182" t="str">
        <f>HYPERLINK("https://docs.google.com/spreadsheet/ccc?key=0AtCxI-JffeJkdEdMaU9UVXZmb2ZiR2FVdzU4YnMwbGc","Earthquake Impact Database 2014")</f>
        <v>Earthquake Impact Database 2014</v>
      </c>
    </row>
    <row r="35" spans="1:3">
      <c r="A35" s="379"/>
      <c r="C35" s="182" t="str">
        <f>HYPERLINK("https://docs.google.com/spreadsheets/d/1PdjX8hu2nyG63euop1ZNyrYlsuuB9AbBysmY3evrMEk/edit#gid=0","Earthquake Impact Database 2015")</f>
        <v>Earthquake Impact Database 2015</v>
      </c>
    </row>
    <row r="36" spans="1:3">
      <c r="A36" s="379"/>
      <c r="C36" s="182" t="str">
        <f>(HYPERLINK("https://docs.google.com/spreadsheets/d/1BgGaqfUGE7CC3p7WHMQL9La-S-B1LVoHm_RW9zMCzvc/edit#gid=0","Earthquake Impact Database 2016"))</f>
        <v>Earthquake Impact Database 2016</v>
      </c>
    </row>
    <row r="37" spans="1:3">
      <c r="A37" s="360"/>
      <c r="C37" s="181" t="str">
        <f>HYPERLINK("https://docs.google.com/spreadsheets/d/1oveZ42OLdJFnKu2aZfMg4aV1AR_OgHftxRm-65bJw4w/edit#gid=0","Earthquake Impact Database 2017")</f>
        <v>Earthquake Impact Database 2017</v>
      </c>
    </row>
    <row r="38" spans="1:3">
      <c r="A38" s="360"/>
      <c r="C38" s="181" t="str">
        <f>HYPERLINK("https://docs.google.com/spreadsheets/d/1yiAyErZze1A4VbcklArr2JrKEDkkBqYbmZo399NGSeM/edit?usp=sharing","Earthquake Impact Database 2018")</f>
        <v>Earthquake Impact Database 2018</v>
      </c>
    </row>
    <row r="39" spans="1:3">
      <c r="A39" s="182" t="str">
        <f>HYPERLINK("https://docs.google.com/spreadsheet/ccc?key=0AtCxI-JffeJkdDRxRktjWDBOaXpaYm0tWkpxdkg3ZUE&amp;usp=drive_web#gid=0","Earthquake Impact Database 2013")</f>
        <v>Earthquake Impact Database 2013</v>
      </c>
      <c r="C39" s="181" t="str">
        <f>HYPERLINK("https://docs.google.com/spreadsheets/d/1cxvZhPLMe5akNGQeVzieiMDWqehUuzNUEQy1SDW5mhM/","Earthquake Impact Database 2019")</f>
        <v>Earthquake Impact Database 2019</v>
      </c>
    </row>
    <row r="40" spans="1:3">
      <c r="A40" s="182" t="str">
        <f>HYPERLINK("https://docs.google.com/spreadsheet/ccc?key=0AtCxI-JffeJkdEdMaU9UVXZmb2ZiR2FVdzU4YnMwbGc","Earthquake Impact Database 2014")</f>
        <v>Earthquake Impact Database 2014</v>
      </c>
      <c r="C40" s="180" t="str">
        <f>HYPERLINK("https://docs.google.com/spreadsheets/d/1AnxHjhgjGZ566qe8Jw2QrbMi-G3JXaoZa3B7CYeob8E/edit?usp=sharingg","Earthquake Impact Database 2020")</f>
        <v>Earthquake Impact Database 2020</v>
      </c>
    </row>
    <row r="41" spans="1:3">
      <c r="A41" s="182" t="str">
        <f>HYPERLINK("https://docs.google.com/spreadsheets/d/1PdjX8hu2nyG63euop1ZNyrYlsuuB9AbBysmY3evrMEk/edit#gid=0","Earthquake Impact Database 2015")</f>
        <v>Earthquake Impact Database 2015</v>
      </c>
      <c r="C41" s="173"/>
    </row>
    <row r="42" spans="1:3">
      <c r="A42" s="182" t="str">
        <f>(HYPERLINK("https://docs.google.com/spreadsheets/d/1BgGaqfUGE7CC3p7WHMQL9La-S-B1LVoHm_RW9zMCzvc/edit#gid=0","Earthquake Impact Database 2016"))</f>
        <v>Earthquake Impact Database 2016</v>
      </c>
      <c r="C42" s="173"/>
    </row>
    <row r="43" spans="1:3">
      <c r="A43" s="182" t="str">
        <f>HYPERLINK("https://docs.google.com/spreadsheets/d/1oveZ42OLdJFnKu2aZfMg4aV1AR_OgHftxRm-65bJw4w/edit#gid=0","Earthquake Impact Database 2017")</f>
        <v>Earthquake Impact Database 2017</v>
      </c>
      <c r="C43" s="173"/>
    </row>
    <row r="44" spans="1:3">
      <c r="A44" s="182" t="str">
        <f>HYPERLINK("https://docs.google.com/spreadsheets/d/1yiAyErZze1A4VbcklArr2JrKEDkkBqYbmZo399NGSeM/edit?usp=sharing","Earthquake Impact Database 2018")</f>
        <v>Earthquake Impact Database 2018</v>
      </c>
      <c r="C44" s="173"/>
    </row>
    <row r="45" spans="1:3">
      <c r="A45" s="182" t="str">
        <f>HYPERLINK("https://docs.google.com/spreadsheets/d/1cxvZhPLMe5akNGQeVzieiMDWqehUuzNUEQy1SDW5mhM/","Earthquake Impact Database 2019")</f>
        <v>Earthquake Impact Database 2019</v>
      </c>
      <c r="C45" s="173"/>
    </row>
    <row r="46" spans="1:3">
      <c r="A46" s="324" t="str">
        <f>HYPERLINK("https://docs.google.com/spreadsheets/d/1AnxHjhgjGZ566qe8Jw2QrbMi-G3JXaoZa3B7CYeob8E/edit?usp=sharingg","Earthquake Impact Database 2020")</f>
        <v>Earthquake Impact Database 2020</v>
      </c>
      <c r="C46" s="166"/>
    </row>
    <row r="47" spans="1:3">
      <c r="A47" s="360"/>
      <c r="C47" s="173"/>
    </row>
    <row r="48" spans="1:3">
      <c r="A48" s="360"/>
      <c r="C48" s="173"/>
    </row>
    <row r="49" spans="1:3">
      <c r="A49" s="360"/>
      <c r="C49" s="173"/>
    </row>
    <row r="50" spans="1:3">
      <c r="A50" s="360"/>
      <c r="C50" s="173"/>
    </row>
    <row r="51" spans="1:3">
      <c r="A51" s="360"/>
      <c r="C51" s="173"/>
    </row>
    <row r="52" spans="1:3">
      <c r="A52" s="360"/>
      <c r="C52" s="173"/>
    </row>
    <row r="53" spans="1:3">
      <c r="A53" s="360"/>
      <c r="C53" s="173"/>
    </row>
    <row r="54" spans="1:3">
      <c r="A54" s="360"/>
      <c r="C54" s="173"/>
    </row>
    <row r="55" spans="1:3">
      <c r="A55" s="360"/>
      <c r="C55" s="173"/>
    </row>
    <row r="56" spans="1:3">
      <c r="A56" s="360"/>
      <c r="C56" s="173"/>
    </row>
    <row r="57" spans="1:3">
      <c r="A57" s="360"/>
      <c r="C57" s="173"/>
    </row>
    <row r="58" spans="1:3">
      <c r="A58" s="386"/>
      <c r="C58" s="173"/>
    </row>
    <row r="59" spans="1:3">
      <c r="A59" s="360"/>
      <c r="C59" s="173"/>
    </row>
    <row r="60" spans="1:3">
      <c r="A60" s="360"/>
      <c r="C60" s="173"/>
    </row>
    <row r="61" spans="1:3">
      <c r="A61" s="360"/>
      <c r="C61" s="173"/>
    </row>
    <row r="62" spans="1:3">
      <c r="A62" s="360"/>
      <c r="C62" s="165"/>
    </row>
    <row r="63" spans="1:3">
      <c r="A63" s="370"/>
      <c r="C63" s="166"/>
    </row>
    <row r="64" spans="1:3">
      <c r="A64" s="360"/>
      <c r="C64" s="173"/>
    </row>
    <row r="65" spans="1:3">
      <c r="A65" s="360"/>
      <c r="C65" s="173"/>
    </row>
    <row r="66" spans="1:3">
      <c r="A66" s="360"/>
      <c r="C66" s="173"/>
    </row>
    <row r="67" spans="1:3">
      <c r="A67" s="360"/>
      <c r="C67" s="173"/>
    </row>
    <row r="68" spans="1:3">
      <c r="A68" s="360"/>
      <c r="C68" s="173"/>
    </row>
    <row r="69" spans="1:3">
      <c r="A69" s="360"/>
      <c r="C69" s="173"/>
    </row>
    <row r="70" spans="1:3">
      <c r="A70" s="360"/>
      <c r="C70" s="173"/>
    </row>
    <row r="71" spans="1:3">
      <c r="A71" s="360"/>
      <c r="C71" s="173"/>
    </row>
    <row r="72" spans="1:3">
      <c r="A72" s="360"/>
      <c r="C72" s="173"/>
    </row>
    <row r="73" spans="1:3">
      <c r="A73" s="360"/>
      <c r="C73" s="166"/>
    </row>
    <row r="74" spans="1:3">
      <c r="A74" s="360"/>
      <c r="C74" s="173"/>
    </row>
    <row r="75" spans="1:3">
      <c r="A75" s="360"/>
      <c r="C75" s="173"/>
    </row>
    <row r="76" spans="1:3">
      <c r="A76" s="385"/>
      <c r="C76" s="173"/>
    </row>
    <row r="77" spans="1:3">
      <c r="A77" s="360"/>
      <c r="C77" s="173"/>
    </row>
    <row r="78" spans="1:3">
      <c r="A78" s="360"/>
      <c r="C78" s="173"/>
    </row>
    <row r="79" spans="1:3">
      <c r="A79" s="360"/>
      <c r="C79" s="166"/>
    </row>
    <row r="80" spans="1:3">
      <c r="A80" s="360"/>
      <c r="C80" s="173"/>
    </row>
    <row r="81" spans="1:3">
      <c r="A81" s="360"/>
      <c r="C81" s="173"/>
    </row>
    <row r="82" spans="1:3">
      <c r="A82" s="360"/>
      <c r="C82" s="173"/>
    </row>
    <row r="83" spans="1:3">
      <c r="A83" s="385"/>
      <c r="C83" s="173"/>
    </row>
    <row r="84" spans="1:3">
      <c r="A84" s="360"/>
      <c r="C84" s="173"/>
    </row>
    <row r="85" spans="1:3">
      <c r="A85" s="360"/>
      <c r="C85" s="166"/>
    </row>
    <row r="86" spans="1:3">
      <c r="A86" s="360"/>
      <c r="C86" s="173"/>
    </row>
    <row r="87" spans="1:3">
      <c r="A87" s="385"/>
      <c r="C87" s="173"/>
    </row>
    <row r="88" spans="1:3">
      <c r="A88" s="360"/>
      <c r="C88" s="173"/>
    </row>
    <row r="89" spans="1:3">
      <c r="A89" s="360"/>
      <c r="C89" s="165"/>
    </row>
    <row r="90" spans="1:3">
      <c r="A90" s="360"/>
      <c r="C90" s="166"/>
    </row>
    <row r="91" spans="1:3">
      <c r="A91" s="360"/>
      <c r="C91" s="173"/>
    </row>
    <row r="92" spans="1:3">
      <c r="A92" s="385"/>
      <c r="C92" s="173"/>
    </row>
    <row r="93" spans="1:3">
      <c r="A93" s="385"/>
      <c r="C93" s="173"/>
    </row>
    <row r="94" spans="1:3">
      <c r="A94" s="360"/>
      <c r="C94" s="173"/>
    </row>
    <row r="95" spans="1:3">
      <c r="A95" s="360"/>
      <c r="C95" s="173"/>
    </row>
    <row r="96" spans="1:3">
      <c r="A96" s="360"/>
      <c r="C96" s="173"/>
    </row>
    <row r="97" spans="1:3">
      <c r="A97" s="360"/>
      <c r="C97" s="173"/>
    </row>
    <row r="98" spans="1:3">
      <c r="A98" s="360"/>
      <c r="C98" s="173"/>
    </row>
    <row r="99" spans="1:3">
      <c r="A99" s="360"/>
      <c r="C99" s="173"/>
    </row>
    <row r="100" spans="1:3">
      <c r="A100" s="360"/>
      <c r="C100" s="173"/>
    </row>
    <row r="101" spans="1:3">
      <c r="A101" s="360"/>
      <c r="C101" s="173"/>
    </row>
    <row r="102" spans="1:3">
      <c r="A102" s="360"/>
      <c r="C102" s="173"/>
    </row>
    <row r="103" spans="1:3">
      <c r="A103" s="385"/>
      <c r="C103" s="173"/>
    </row>
    <row r="104" spans="1:3">
      <c r="A104" s="360"/>
      <c r="C104" s="173"/>
    </row>
    <row r="105" spans="1:3">
      <c r="A105" s="360"/>
      <c r="C105" s="173"/>
    </row>
    <row r="106" spans="1:3">
      <c r="A106" s="360"/>
      <c r="C106" s="173"/>
    </row>
    <row r="107" spans="1:3">
      <c r="A107" s="385"/>
      <c r="C107" s="173"/>
    </row>
    <row r="108" spans="1:3">
      <c r="A108" s="360"/>
      <c r="C108" s="173"/>
    </row>
    <row r="109" spans="1:3">
      <c r="A109" s="360"/>
      <c r="C109" s="173"/>
    </row>
    <row r="110" spans="1:3">
      <c r="A110" s="360"/>
      <c r="C110" s="166"/>
    </row>
    <row r="111" spans="1:3">
      <c r="A111" s="360"/>
      <c r="C111" s="173"/>
    </row>
    <row r="112" spans="1:3">
      <c r="A112" s="385"/>
      <c r="C112" s="173"/>
    </row>
    <row r="113" spans="1:3">
      <c r="A113" s="385"/>
      <c r="C113" s="166"/>
    </row>
    <row r="114" spans="1:3">
      <c r="A114" s="360"/>
      <c r="C114" s="173"/>
    </row>
    <row r="115" spans="1:3">
      <c r="A115" s="360"/>
      <c r="C115" s="173"/>
    </row>
    <row r="116" spans="1:3">
      <c r="A116" s="360"/>
      <c r="C116" s="173"/>
    </row>
    <row r="117" spans="1:3">
      <c r="A117" s="360"/>
      <c r="C117" s="173"/>
    </row>
    <row r="118" spans="1:3">
      <c r="A118" s="385"/>
      <c r="C118" s="173"/>
    </row>
    <row r="119" spans="1:3">
      <c r="A119" s="360"/>
      <c r="C119" s="173"/>
    </row>
    <row r="120" spans="1:3">
      <c r="A120" s="360"/>
      <c r="C120" s="173"/>
    </row>
    <row r="121" spans="1:3">
      <c r="A121" s="360"/>
      <c r="C121" s="166"/>
    </row>
    <row r="122" spans="1:3">
      <c r="A122" s="360"/>
      <c r="C122" s="165"/>
    </row>
    <row r="123" spans="1:3">
      <c r="A123" s="360"/>
      <c r="C123" s="165"/>
    </row>
    <row r="124" spans="1:3">
      <c r="A124" s="360"/>
      <c r="C124" s="165"/>
    </row>
    <row r="125" spans="1:3">
      <c r="A125" s="360"/>
      <c r="C125" s="165"/>
    </row>
    <row r="126" spans="1:3">
      <c r="A126" s="360"/>
      <c r="C126" s="165"/>
    </row>
    <row r="127" spans="1:3">
      <c r="A127" s="360"/>
      <c r="C127" s="165"/>
    </row>
    <row r="128" spans="1:3">
      <c r="A128" s="360"/>
      <c r="C128" s="165"/>
    </row>
    <row r="129" spans="1:3">
      <c r="A129" s="385"/>
      <c r="C129" s="165"/>
    </row>
    <row r="130" spans="1:3">
      <c r="A130" s="360"/>
      <c r="C130" s="165"/>
    </row>
    <row r="131" spans="1:3">
      <c r="A131" s="360"/>
      <c r="C131" s="165"/>
    </row>
    <row r="132" spans="1:3">
      <c r="A132" s="385"/>
      <c r="C132" s="165"/>
    </row>
    <row r="133" spans="1:3">
      <c r="A133" s="360"/>
      <c r="C133" s="165"/>
    </row>
    <row r="134" spans="1:3">
      <c r="A134" s="360"/>
      <c r="C134" s="166"/>
    </row>
    <row r="135" spans="1:3">
      <c r="A135" s="360"/>
      <c r="C135" s="166"/>
    </row>
    <row r="136" spans="1:3">
      <c r="A136" s="360"/>
      <c r="C136" s="165"/>
    </row>
    <row r="137" spans="1:3">
      <c r="A137" s="360"/>
      <c r="C137" s="166"/>
    </row>
    <row r="138" spans="1:3">
      <c r="A138" s="360"/>
      <c r="C138" s="166"/>
    </row>
    <row r="139" spans="1:3">
      <c r="A139" s="360"/>
      <c r="C139" s="165"/>
    </row>
    <row r="140" spans="1:3">
      <c r="A140" s="360"/>
      <c r="C140" s="165"/>
    </row>
    <row r="141" spans="1:3">
      <c r="A141" s="360"/>
      <c r="C141" s="165"/>
    </row>
    <row r="142" spans="1:3">
      <c r="A142" s="360"/>
      <c r="C142" s="165"/>
    </row>
    <row r="143" spans="1:3">
      <c r="A143" s="360"/>
      <c r="C143" s="165"/>
    </row>
    <row r="144" spans="1:3">
      <c r="A144" s="360"/>
      <c r="C144" s="165"/>
    </row>
    <row r="145" spans="1:3">
      <c r="A145" s="360"/>
      <c r="C145" s="165"/>
    </row>
    <row r="146" spans="1:3">
      <c r="A146" s="360"/>
      <c r="C146" s="165"/>
    </row>
    <row r="147" spans="1:3">
      <c r="A147" s="360"/>
      <c r="C147" s="165"/>
    </row>
    <row r="148" spans="1:3">
      <c r="A148" s="360"/>
      <c r="C148" s="165"/>
    </row>
    <row r="149" spans="1:3">
      <c r="A149" s="385"/>
      <c r="C149" s="165"/>
    </row>
    <row r="150" spans="1:3">
      <c r="A150" s="360"/>
      <c r="C150" s="165"/>
    </row>
    <row r="151" spans="1:3">
      <c r="A151" s="360"/>
      <c r="C151" s="165"/>
    </row>
    <row r="152" spans="1:3">
      <c r="A152" s="360"/>
      <c r="C152" s="165"/>
    </row>
    <row r="153" spans="1:3">
      <c r="A153" s="360"/>
      <c r="C153" s="166"/>
    </row>
    <row r="154" spans="1:3">
      <c r="A154" s="360"/>
      <c r="C154" s="165"/>
    </row>
    <row r="155" spans="1:3">
      <c r="A155" s="360"/>
      <c r="C155" s="165"/>
    </row>
    <row r="156" spans="1:3">
      <c r="A156" s="360"/>
      <c r="C156" s="165"/>
    </row>
    <row r="157" spans="1:3">
      <c r="A157" s="360"/>
      <c r="C157" s="151"/>
    </row>
    <row r="158" spans="1:3">
      <c r="A158" s="360"/>
      <c r="C158" s="151"/>
    </row>
    <row r="159" spans="1:3">
      <c r="A159" s="360"/>
      <c r="C159" s="151"/>
    </row>
    <row r="160" spans="1:3">
      <c r="A160" s="385"/>
      <c r="C160" s="151"/>
    </row>
    <row r="161" spans="1:3">
      <c r="A161" s="360"/>
      <c r="C161" s="151"/>
    </row>
    <row r="162" spans="1:3">
      <c r="A162" s="360"/>
      <c r="C162" s="161"/>
    </row>
    <row r="163" spans="1:3">
      <c r="A163" s="360"/>
      <c r="C163" s="161"/>
    </row>
    <row r="164" spans="1:3">
      <c r="A164" s="360"/>
      <c r="C164" s="161"/>
    </row>
    <row r="165" spans="1:3">
      <c r="A165" s="360"/>
      <c r="C165" s="161"/>
    </row>
    <row r="166" spans="1:3">
      <c r="A166" s="360"/>
      <c r="C166" s="161"/>
    </row>
    <row r="167" spans="1:3">
      <c r="A167" s="360"/>
      <c r="C167" s="161"/>
    </row>
    <row r="168" spans="1:3">
      <c r="A168" s="360"/>
      <c r="C168" s="161"/>
    </row>
    <row r="169" spans="1:3">
      <c r="A169" s="360"/>
      <c r="C169" s="161"/>
    </row>
    <row r="170" spans="1:3">
      <c r="A170" s="360"/>
      <c r="C170" s="161"/>
    </row>
    <row r="171" spans="1:3">
      <c r="A171" s="360"/>
      <c r="C171" s="161"/>
    </row>
    <row r="172" spans="1:3">
      <c r="A172" s="360"/>
      <c r="C172" s="161"/>
    </row>
    <row r="173" spans="1:3">
      <c r="A173" s="360"/>
      <c r="C173" s="161"/>
    </row>
    <row r="174" spans="1:3">
      <c r="A174" s="360"/>
      <c r="C174" s="161"/>
    </row>
    <row r="175" spans="1:3">
      <c r="A175" s="360"/>
      <c r="C175" s="161"/>
    </row>
    <row r="176" spans="1:3">
      <c r="A176" s="360"/>
      <c r="C176" s="161"/>
    </row>
    <row r="177" spans="1:3">
      <c r="A177" s="370"/>
      <c r="C177" s="161"/>
    </row>
    <row r="178" spans="1:3">
      <c r="A178" s="360"/>
      <c r="C178" s="161"/>
    </row>
    <row r="179" spans="1:3">
      <c r="A179" s="360"/>
      <c r="C179" s="161"/>
    </row>
    <row r="180" spans="1:3">
      <c r="A180" s="360"/>
      <c r="C180" s="161"/>
    </row>
    <row r="181" spans="1:3">
      <c r="A181" s="360"/>
      <c r="C181" s="161"/>
    </row>
    <row r="182" spans="1:3">
      <c r="A182" s="360"/>
      <c r="C182" s="161"/>
    </row>
    <row r="183" spans="1:3">
      <c r="A183" s="360"/>
      <c r="C183" s="161"/>
    </row>
    <row r="184" spans="1:3">
      <c r="A184" s="360"/>
      <c r="C184" s="161"/>
    </row>
    <row r="185" spans="1:3">
      <c r="A185" s="360"/>
      <c r="C185" s="161"/>
    </row>
    <row r="186" spans="1:3">
      <c r="A186" s="360"/>
      <c r="C186" s="161"/>
    </row>
    <row r="187" spans="1:3">
      <c r="A187" s="360"/>
      <c r="C187" s="161"/>
    </row>
    <row r="188" spans="1:3">
      <c r="A188" s="360"/>
      <c r="C188" s="161"/>
    </row>
    <row r="189" spans="1:3">
      <c r="A189" s="360"/>
      <c r="C189" s="161"/>
    </row>
    <row r="190" spans="1:3">
      <c r="A190" s="360"/>
      <c r="C190" s="161"/>
    </row>
    <row r="191" spans="1:3">
      <c r="A191" s="360"/>
      <c r="C191" s="161"/>
    </row>
    <row r="192" spans="1:3">
      <c r="A192" s="360"/>
      <c r="C192" s="161"/>
    </row>
    <row r="193" spans="1:3">
      <c r="A193" s="360"/>
      <c r="C193" s="161"/>
    </row>
    <row r="194" spans="1:3">
      <c r="A194" s="360"/>
      <c r="C194" s="161"/>
    </row>
    <row r="195" spans="1:3">
      <c r="A195" s="360"/>
      <c r="C195" s="162"/>
    </row>
    <row r="196" spans="1:3">
      <c r="A196" s="360"/>
      <c r="C196" s="162"/>
    </row>
    <row r="197" spans="1:3">
      <c r="A197" s="370"/>
      <c r="C197" s="162"/>
    </row>
    <row r="198" spans="1:3">
      <c r="A198" s="360"/>
      <c r="C198" s="161"/>
    </row>
    <row r="199" spans="1:3">
      <c r="A199" s="360"/>
      <c r="C199" s="161"/>
    </row>
    <row r="200" spans="1:3">
      <c r="A200" s="360"/>
      <c r="C200" s="161"/>
    </row>
    <row r="201" spans="1:3">
      <c r="A201" s="360"/>
      <c r="C201" s="161"/>
    </row>
    <row r="202" spans="1:3">
      <c r="A202" s="360"/>
      <c r="C202" s="161"/>
    </row>
    <row r="203" spans="1:3">
      <c r="A203" s="360"/>
      <c r="C203" s="161"/>
    </row>
    <row r="204" spans="1:3">
      <c r="A204" s="360"/>
      <c r="C204" s="161"/>
    </row>
    <row r="205" spans="1:3">
      <c r="A205" s="360"/>
      <c r="C205" s="140"/>
    </row>
    <row r="206" spans="1:3">
      <c r="A206" s="360"/>
      <c r="C206" s="140"/>
    </row>
    <row r="207" spans="1:3">
      <c r="A207" s="360"/>
      <c r="C207" s="151"/>
    </row>
    <row r="208" spans="1:3">
      <c r="A208" s="360"/>
      <c r="C208" s="151"/>
    </row>
    <row r="209" spans="1:3">
      <c r="A209" s="360"/>
      <c r="C209" s="151"/>
    </row>
    <row r="210" spans="1:3">
      <c r="A210" s="360"/>
      <c r="C210" s="140"/>
    </row>
    <row r="211" spans="1:3">
      <c r="A211" s="360"/>
      <c r="C211" s="151"/>
    </row>
    <row r="212" spans="1:3">
      <c r="A212" s="360"/>
      <c r="C212" s="151"/>
    </row>
    <row r="213" spans="1:3">
      <c r="A213" s="360"/>
      <c r="C213" s="151"/>
    </row>
    <row r="214" spans="1:3">
      <c r="A214" s="360"/>
      <c r="C214" s="151"/>
    </row>
    <row r="215" spans="1:3">
      <c r="A215" s="360"/>
      <c r="C215" s="151"/>
    </row>
    <row r="216" spans="1:3">
      <c r="A216" s="360"/>
      <c r="C216" s="151"/>
    </row>
    <row r="217" spans="1:3">
      <c r="A217" s="360"/>
      <c r="C217" s="151"/>
    </row>
    <row r="218" spans="1:3">
      <c r="A218" s="360"/>
      <c r="C218" s="151"/>
    </row>
    <row r="219" spans="1:3">
      <c r="A219" s="360"/>
      <c r="C219" s="151"/>
    </row>
    <row r="220" spans="1:3">
      <c r="A220" s="360"/>
      <c r="C220" s="151"/>
    </row>
    <row r="221" spans="1:3">
      <c r="A221" s="360"/>
      <c r="C221" s="151"/>
    </row>
    <row r="222" spans="1:3">
      <c r="A222" s="360"/>
      <c r="C222" s="151"/>
    </row>
    <row r="223" spans="1:3">
      <c r="A223" s="360"/>
      <c r="C223" s="151"/>
    </row>
    <row r="224" spans="1:3">
      <c r="A224" s="360"/>
      <c r="C224" s="151"/>
    </row>
    <row r="225" spans="1:3">
      <c r="A225" s="360"/>
      <c r="C225" s="151"/>
    </row>
    <row r="226" spans="1:3">
      <c r="A226" s="360"/>
      <c r="C226" s="151"/>
    </row>
    <row r="227" spans="1:3">
      <c r="A227" s="360"/>
      <c r="C227" s="151"/>
    </row>
    <row r="228" spans="1:3">
      <c r="A228" s="360"/>
      <c r="C228" s="151"/>
    </row>
    <row r="229" spans="1:3">
      <c r="A229" s="413"/>
      <c r="C229" s="151"/>
    </row>
    <row r="230" spans="1:3">
      <c r="A230" s="413"/>
      <c r="C230" s="140"/>
    </row>
    <row r="231" spans="1:3">
      <c r="A231" s="360"/>
      <c r="C231" s="151"/>
    </row>
    <row r="232" spans="1:3">
      <c r="A232" s="360"/>
      <c r="C232" s="151"/>
    </row>
    <row r="233" spans="1:3">
      <c r="A233" s="360"/>
      <c r="C233" s="151"/>
    </row>
    <row r="234" spans="1:3">
      <c r="A234" s="360"/>
      <c r="C234" s="151"/>
    </row>
    <row r="235" spans="1:3">
      <c r="A235" s="360"/>
      <c r="C235" s="151"/>
    </row>
    <row r="236" spans="1:3">
      <c r="A236" s="360"/>
      <c r="C236" s="151"/>
    </row>
    <row r="237" spans="1:3">
      <c r="A237" s="360"/>
      <c r="C237" s="140"/>
    </row>
    <row r="238" spans="1:3">
      <c r="A238" s="360"/>
      <c r="C238" s="140"/>
    </row>
    <row r="239" spans="1:3">
      <c r="A239" s="360"/>
      <c r="C239" s="151"/>
    </row>
    <row r="240" spans="1:3">
      <c r="A240" s="360"/>
      <c r="C240" s="151"/>
    </row>
    <row r="241" spans="1:3">
      <c r="A241" s="360"/>
      <c r="C241" s="151"/>
    </row>
    <row r="242" spans="1:3">
      <c r="A242" s="360"/>
      <c r="C242" s="151"/>
    </row>
    <row r="243" spans="1:3">
      <c r="A243" s="385"/>
      <c r="C243" s="151"/>
    </row>
    <row r="244" spans="1:3">
      <c r="A244" s="360"/>
      <c r="C244" s="151"/>
    </row>
    <row r="245" spans="1:3">
      <c r="A245" s="360"/>
      <c r="C245" s="151"/>
    </row>
    <row r="246" spans="1:3">
      <c r="A246" s="360"/>
      <c r="C246" s="151"/>
    </row>
    <row r="247" spans="1:3">
      <c r="A247" s="360"/>
      <c r="C247" s="140"/>
    </row>
    <row r="248" spans="1:3">
      <c r="A248" s="360"/>
      <c r="C248" s="151"/>
    </row>
    <row r="249" spans="1:3">
      <c r="A249" s="360"/>
      <c r="C249" s="151"/>
    </row>
    <row r="250" spans="1:3">
      <c r="A250" s="360"/>
      <c r="C250" s="151"/>
    </row>
    <row r="251" spans="1:3">
      <c r="A251" s="360"/>
      <c r="C251" s="151"/>
    </row>
    <row r="252" spans="1:3">
      <c r="A252" s="385"/>
      <c r="C252" s="151"/>
    </row>
    <row r="253" spans="1:3">
      <c r="A253" s="360"/>
      <c r="C253" s="151"/>
    </row>
    <row r="254" spans="1:3">
      <c r="A254" s="360"/>
      <c r="C254" s="151"/>
    </row>
    <row r="255" spans="1:3">
      <c r="A255" s="360"/>
      <c r="C255" s="151"/>
    </row>
    <row r="256" spans="1:3">
      <c r="A256" s="360"/>
      <c r="C256" s="151"/>
    </row>
    <row r="257" spans="1:3">
      <c r="A257" s="360"/>
      <c r="C257" s="151"/>
    </row>
    <row r="258" spans="1:3">
      <c r="A258" s="360"/>
      <c r="C258" s="151"/>
    </row>
    <row r="259" spans="1:3">
      <c r="A259" s="360"/>
      <c r="C259" s="151"/>
    </row>
    <row r="260" spans="1:3">
      <c r="A260" s="360"/>
      <c r="C260" s="151"/>
    </row>
    <row r="261" spans="1:3">
      <c r="A261" s="360"/>
      <c r="C261" s="151"/>
    </row>
    <row r="262" spans="1:3">
      <c r="A262" s="360"/>
      <c r="C262" s="151"/>
    </row>
    <row r="263" spans="1:3">
      <c r="A263" s="360"/>
      <c r="C263" s="151"/>
    </row>
    <row r="264" spans="1:3">
      <c r="A264" s="360"/>
      <c r="C264" s="151"/>
    </row>
    <row r="265" spans="1:3">
      <c r="A265" s="360"/>
      <c r="C265" s="151"/>
    </row>
    <row r="266" spans="1:3">
      <c r="A266" s="360"/>
      <c r="C266" s="151"/>
    </row>
    <row r="267" spans="1:3">
      <c r="A267" s="360"/>
      <c r="C267" s="151"/>
    </row>
    <row r="268" spans="1:3">
      <c r="A268" s="360"/>
      <c r="C268" s="151"/>
    </row>
    <row r="269" spans="1:3">
      <c r="A269" s="360"/>
      <c r="C269" s="151"/>
    </row>
    <row r="270" spans="1:3">
      <c r="A270" s="385"/>
      <c r="C270" s="151"/>
    </row>
    <row r="271" spans="1:3">
      <c r="A271" s="360"/>
      <c r="C271" s="151"/>
    </row>
    <row r="272" spans="1:3">
      <c r="A272" s="360"/>
      <c r="C272" s="151"/>
    </row>
    <row r="273" spans="1:3">
      <c r="A273" s="360"/>
      <c r="C273" s="140"/>
    </row>
    <row r="274" spans="1:3">
      <c r="A274" s="360"/>
      <c r="C274" s="140"/>
    </row>
    <row r="275" spans="1:3">
      <c r="A275" s="385"/>
      <c r="C275" s="140"/>
    </row>
    <row r="276" spans="1:3">
      <c r="A276" s="360"/>
      <c r="C276" s="140"/>
    </row>
    <row r="277" spans="1:3">
      <c r="A277" s="360"/>
      <c r="C277" s="140"/>
    </row>
    <row r="278" spans="1:3">
      <c r="A278" s="360"/>
      <c r="C278" s="140"/>
    </row>
    <row r="279" spans="1:3">
      <c r="A279" s="360"/>
      <c r="C279" s="140"/>
    </row>
    <row r="280" spans="1:3">
      <c r="A280" s="360"/>
      <c r="C280" s="140"/>
    </row>
    <row r="281" spans="1:3">
      <c r="A281" s="360"/>
      <c r="C281" s="130"/>
    </row>
    <row r="282" spans="1:3">
      <c r="A282" s="360"/>
      <c r="C282" s="130"/>
    </row>
    <row r="283" spans="1:3">
      <c r="A283" s="360"/>
      <c r="C283" s="130"/>
    </row>
    <row r="284" spans="1:3">
      <c r="A284" s="360"/>
      <c r="C284"/>
    </row>
    <row r="285" spans="1:3">
      <c r="A285" s="360"/>
    </row>
    <row r="286" spans="1:3">
      <c r="A286" s="360"/>
    </row>
    <row r="287" spans="1:3">
      <c r="A287" s="360"/>
    </row>
    <row r="288" spans="1:3">
      <c r="A288" s="360"/>
    </row>
    <row r="289" spans="1:1">
      <c r="A289" s="360"/>
    </row>
    <row r="290" spans="1:1">
      <c r="A290" s="360"/>
    </row>
    <row r="291" spans="1:1">
      <c r="A291" s="360"/>
    </row>
    <row r="292" spans="1:1">
      <c r="A292" s="360"/>
    </row>
    <row r="293" spans="1:1">
      <c r="A293" s="385"/>
    </row>
    <row r="294" spans="1:1">
      <c r="A294" s="360"/>
    </row>
    <row r="295" spans="1:1">
      <c r="A295" s="360"/>
    </row>
    <row r="296" spans="1:1">
      <c r="A296" s="360"/>
    </row>
    <row r="297" spans="1:1">
      <c r="A297" s="360"/>
    </row>
    <row r="298" spans="1:1">
      <c r="A298" s="360"/>
    </row>
    <row r="299" spans="1:1">
      <c r="A299" s="360"/>
    </row>
    <row r="300" spans="1:1">
      <c r="A300" s="360"/>
    </row>
    <row r="301" spans="1:1">
      <c r="A301" s="360"/>
    </row>
    <row r="302" spans="1:1">
      <c r="A302" s="360"/>
    </row>
    <row r="303" spans="1:1">
      <c r="A303" s="360"/>
    </row>
    <row r="304" spans="1:1">
      <c r="A304" s="360"/>
    </row>
    <row r="305" spans="1:1">
      <c r="A305" s="360"/>
    </row>
    <row r="306" spans="1:1">
      <c r="A306" s="360"/>
    </row>
    <row r="307" spans="1:1">
      <c r="A307" s="385"/>
    </row>
    <row r="308" spans="1:1">
      <c r="A308" s="360"/>
    </row>
    <row r="309" spans="1:1">
      <c r="A309" s="360"/>
    </row>
    <row r="310" spans="1:1">
      <c r="A310" s="360"/>
    </row>
    <row r="311" spans="1:1">
      <c r="A311" s="360"/>
    </row>
    <row r="312" spans="1:1">
      <c r="A312" s="360"/>
    </row>
    <row r="313" spans="1:1">
      <c r="A313" s="360"/>
    </row>
    <row r="314" spans="1:1">
      <c r="A314" s="360"/>
    </row>
    <row r="315" spans="1:1">
      <c r="A315" s="360"/>
    </row>
    <row r="316" spans="1:1">
      <c r="A316" s="360"/>
    </row>
    <row r="317" spans="1:1">
      <c r="A317" s="360"/>
    </row>
    <row r="318" spans="1:1">
      <c r="A318" s="360"/>
    </row>
    <row r="319" spans="1:1">
      <c r="A319" s="360"/>
    </row>
    <row r="320" spans="1:1">
      <c r="A320" s="360"/>
    </row>
    <row r="321" spans="1:1">
      <c r="A321" s="360"/>
    </row>
    <row r="322" spans="1:1">
      <c r="A322" s="360"/>
    </row>
    <row r="323" spans="1:1">
      <c r="A323" s="385"/>
    </row>
    <row r="324" spans="1:1">
      <c r="A324" s="360"/>
    </row>
    <row r="325" spans="1:1">
      <c r="A325" s="360"/>
    </row>
    <row r="326" spans="1:1">
      <c r="A326" s="360"/>
    </row>
    <row r="327" spans="1:1">
      <c r="A327" s="360"/>
    </row>
    <row r="328" spans="1:1">
      <c r="A328" s="360"/>
    </row>
    <row r="329" spans="1:1">
      <c r="A329" s="385"/>
    </row>
    <row r="330" spans="1:1">
      <c r="A330" s="360"/>
    </row>
    <row r="331" spans="1:1">
      <c r="A331" s="360"/>
    </row>
    <row r="332" spans="1:1">
      <c r="A332" s="360"/>
    </row>
    <row r="333" spans="1:1">
      <c r="A333" s="360"/>
    </row>
    <row r="334" spans="1:1">
      <c r="A334" s="360"/>
    </row>
    <row r="335" spans="1:1">
      <c r="A335" s="360"/>
    </row>
    <row r="336" spans="1:1">
      <c r="A336" s="360"/>
    </row>
    <row r="337" spans="1:1">
      <c r="A337" s="360"/>
    </row>
    <row r="338" spans="1:1">
      <c r="A338" s="360"/>
    </row>
    <row r="339" spans="1:1">
      <c r="A339" s="360"/>
    </row>
    <row r="340" spans="1:1">
      <c r="A340" s="360"/>
    </row>
    <row r="341" spans="1:1">
      <c r="A341" s="360"/>
    </row>
    <row r="342" spans="1:1">
      <c r="A342" s="360"/>
    </row>
    <row r="343" spans="1:1">
      <c r="A343" s="360"/>
    </row>
    <row r="344" spans="1:1">
      <c r="A344" s="360"/>
    </row>
    <row r="345" spans="1:1">
      <c r="A345" s="360"/>
    </row>
    <row r="346" spans="1:1">
      <c r="A346" s="360"/>
    </row>
    <row r="347" spans="1:1">
      <c r="A347" s="360"/>
    </row>
    <row r="348" spans="1:1">
      <c r="A348" s="360"/>
    </row>
    <row r="349" spans="1:1">
      <c r="A349" s="360"/>
    </row>
    <row r="350" spans="1:1">
      <c r="A350" s="360"/>
    </row>
    <row r="351" spans="1:1">
      <c r="A351" s="360"/>
    </row>
    <row r="352" spans="1:1">
      <c r="A352" s="360"/>
    </row>
    <row r="353" spans="1:1">
      <c r="A353" s="360"/>
    </row>
    <row r="354" spans="1:1">
      <c r="A354" s="360"/>
    </row>
    <row r="355" spans="1:1">
      <c r="A355" s="360"/>
    </row>
    <row r="356" spans="1:1">
      <c r="A356" s="360"/>
    </row>
    <row r="357" spans="1:1">
      <c r="A357" s="360"/>
    </row>
    <row r="358" spans="1:1">
      <c r="A358" s="360"/>
    </row>
    <row r="359" spans="1:1">
      <c r="A359" s="385"/>
    </row>
    <row r="360" spans="1:1">
      <c r="A360" s="360"/>
    </row>
    <row r="361" spans="1:1">
      <c r="A361" s="360"/>
    </row>
    <row r="362" spans="1:1">
      <c r="A362" s="360"/>
    </row>
    <row r="363" spans="1:1">
      <c r="A363" s="360"/>
    </row>
    <row r="364" spans="1:1">
      <c r="A364" s="360"/>
    </row>
    <row r="365" spans="1:1">
      <c r="A365" s="360"/>
    </row>
    <row r="366" spans="1:1">
      <c r="A366" s="360"/>
    </row>
    <row r="367" spans="1:1">
      <c r="A367" s="360"/>
    </row>
    <row r="368" spans="1:1">
      <c r="A368" s="360"/>
    </row>
    <row r="369" spans="1:1">
      <c r="A369" s="360"/>
    </row>
    <row r="370" spans="1:1">
      <c r="A370" s="360"/>
    </row>
    <row r="371" spans="1:1">
      <c r="A371" s="360"/>
    </row>
    <row r="372" spans="1:1">
      <c r="A372" s="360"/>
    </row>
    <row r="373" spans="1:1">
      <c r="A373" s="360"/>
    </row>
    <row r="374" spans="1:1">
      <c r="A374" s="360"/>
    </row>
    <row r="375" spans="1:1">
      <c r="A375" s="360"/>
    </row>
    <row r="376" spans="1:1">
      <c r="A376" s="360"/>
    </row>
    <row r="377" spans="1:1">
      <c r="A377" s="360"/>
    </row>
    <row r="378" spans="1:1">
      <c r="A378" s="360"/>
    </row>
    <row r="379" spans="1:1">
      <c r="A379" s="360"/>
    </row>
    <row r="380" spans="1:1">
      <c r="A380" s="360"/>
    </row>
    <row r="381" spans="1:1">
      <c r="A381" s="360"/>
    </row>
    <row r="382" spans="1:1">
      <c r="A382" s="360"/>
    </row>
    <row r="383" spans="1:1">
      <c r="A383" s="360"/>
    </row>
    <row r="384" spans="1:1">
      <c r="A384" s="360"/>
    </row>
    <row r="385" spans="1:1">
      <c r="A385" s="360"/>
    </row>
    <row r="386" spans="1:1">
      <c r="A386" s="360"/>
    </row>
    <row r="387" spans="1:1">
      <c r="A387" s="360"/>
    </row>
    <row r="388" spans="1:1">
      <c r="A388" s="385"/>
    </row>
    <row r="389" spans="1:1">
      <c r="A389" s="360"/>
    </row>
    <row r="390" spans="1:1">
      <c r="A390" s="360"/>
    </row>
    <row r="391" spans="1:1">
      <c r="A391" s="360"/>
    </row>
    <row r="392" spans="1:1">
      <c r="A392" s="360"/>
    </row>
    <row r="393" spans="1:1">
      <c r="A393" s="360"/>
    </row>
    <row r="394" spans="1:1">
      <c r="A394" s="421"/>
    </row>
    <row r="395" spans="1:1">
      <c r="A395" s="379"/>
    </row>
    <row r="396" spans="1:1">
      <c r="A396" s="422" t="s">
        <v>2088</v>
      </c>
    </row>
    <row r="397" spans="1:1">
      <c r="A397" s="379"/>
    </row>
    <row r="398" spans="1:1">
      <c r="A398" s="379"/>
    </row>
    <row r="399" spans="1:1">
      <c r="A399" s="379"/>
    </row>
    <row r="400" spans="1:1">
      <c r="A400" s="379"/>
    </row>
    <row r="401" spans="1:1">
      <c r="A401" s="379"/>
    </row>
    <row r="402" spans="1:1">
      <c r="A402" s="379"/>
    </row>
    <row r="403" spans="1:1">
      <c r="A403" s="379"/>
    </row>
    <row r="404" spans="1:1">
      <c r="A404" s="379"/>
    </row>
    <row r="405" spans="1:1">
      <c r="A405" s="379"/>
    </row>
    <row r="406" spans="1:1">
      <c r="A406" s="379"/>
    </row>
    <row r="407" spans="1:1">
      <c r="A407" s="379"/>
    </row>
    <row r="408" spans="1:1">
      <c r="A408" s="423"/>
    </row>
    <row r="409" spans="1:1">
      <c r="A409" s="423"/>
    </row>
    <row r="410" spans="1:1">
      <c r="A410" s="424"/>
    </row>
  </sheetData>
  <mergeCells count="6">
    <mergeCell ref="A14:A15"/>
    <mergeCell ref="A34:A36"/>
    <mergeCell ref="A394:A395"/>
    <mergeCell ref="A396:A407"/>
    <mergeCell ref="C24:C25"/>
    <mergeCell ref="C27:C29"/>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A1FB3-6C1A-4806-A3D7-6FEB15E13BFB}">
  <sheetPr>
    <outlinePr summaryBelow="0" summaryRight="0"/>
  </sheetPr>
  <dimension ref="A1:I410"/>
  <sheetViews>
    <sheetView topLeftCell="C1" workbookViewId="0">
      <pane ySplit="1" topLeftCell="A2" activePane="bottomLeft" state="frozen"/>
      <selection pane="bottomLeft" activeCell="I1" sqref="I1"/>
    </sheetView>
    <sheetView workbookViewId="1"/>
  </sheetViews>
  <sheetFormatPr defaultColWidth="13.68359375" defaultRowHeight="12.75" customHeight="1"/>
  <cols>
    <col min="1" max="1" width="10.68359375" style="299" customWidth="1"/>
    <col min="2" max="2" width="35.3125" style="299" customWidth="1"/>
    <col min="3" max="3" width="10.26171875" style="299" customWidth="1"/>
    <col min="4" max="4" width="6.3671875" style="299" customWidth="1"/>
    <col min="5" max="5" width="8.26171875" style="299" customWidth="1"/>
    <col min="6" max="6" width="8.7890625" style="299" customWidth="1"/>
    <col min="7" max="7" width="7.41796875" style="299" customWidth="1"/>
    <col min="8" max="8" width="8.3671875" style="299" customWidth="1"/>
    <col min="9" max="9" width="8.62890625" style="299" customWidth="1"/>
    <col min="10" max="16384" width="13.68359375" style="299"/>
  </cols>
  <sheetData>
    <row r="1" spans="1:9" ht="24.6">
      <c r="A1" s="350" t="s">
        <v>0</v>
      </c>
      <c r="B1" s="296" t="s">
        <v>1941</v>
      </c>
      <c r="C1" s="351" t="s">
        <v>1078</v>
      </c>
      <c r="D1" s="296" t="s">
        <v>5</v>
      </c>
      <c r="E1" s="296" t="s">
        <v>1464</v>
      </c>
      <c r="F1" s="269" t="s">
        <v>9</v>
      </c>
      <c r="G1" s="270" t="s">
        <v>1942</v>
      </c>
      <c r="H1" s="297" t="s">
        <v>1469</v>
      </c>
      <c r="I1" s="298" t="s">
        <v>15</v>
      </c>
    </row>
    <row r="2" spans="1:9" ht="12.3">
      <c r="A2" s="353">
        <v>41278</v>
      </c>
      <c r="B2" s="354" t="s">
        <v>1527</v>
      </c>
      <c r="C2" s="355">
        <v>4.3</v>
      </c>
      <c r="D2" s="354">
        <v>10</v>
      </c>
      <c r="E2" s="354" t="s">
        <v>684</v>
      </c>
      <c r="F2" s="356" t="s">
        <v>23</v>
      </c>
      <c r="G2" s="357" t="s">
        <v>23</v>
      </c>
      <c r="H2" s="358">
        <v>2</v>
      </c>
      <c r="I2" s="359" t="s">
        <v>23</v>
      </c>
    </row>
    <row r="3" spans="1:9" ht="12.3">
      <c r="A3" s="361">
        <v>41279</v>
      </c>
      <c r="B3" s="362" t="s">
        <v>1841</v>
      </c>
      <c r="C3" s="363">
        <v>7.5</v>
      </c>
      <c r="D3" s="362">
        <v>9</v>
      </c>
      <c r="E3" s="362" t="s">
        <v>123</v>
      </c>
      <c r="F3" s="364" t="s">
        <v>23</v>
      </c>
      <c r="G3" s="365" t="s">
        <v>23</v>
      </c>
      <c r="H3" s="366">
        <v>2</v>
      </c>
      <c r="I3" s="367" t="s">
        <v>1370</v>
      </c>
    </row>
    <row r="4" spans="1:9" ht="12.3">
      <c r="A4" s="361">
        <v>41282</v>
      </c>
      <c r="B4" s="369" t="s">
        <v>105</v>
      </c>
      <c r="C4" s="363">
        <v>4.7</v>
      </c>
      <c r="D4" s="362">
        <v>14</v>
      </c>
      <c r="E4" s="362"/>
      <c r="F4" s="364" t="s">
        <v>23</v>
      </c>
      <c r="G4" s="365" t="s">
        <v>23</v>
      </c>
      <c r="H4" s="366">
        <v>2</v>
      </c>
      <c r="I4" s="367" t="s">
        <v>23</v>
      </c>
    </row>
    <row r="5" spans="1:9" ht="12.3">
      <c r="A5" s="361">
        <v>41282</v>
      </c>
      <c r="B5" s="369" t="s">
        <v>1943</v>
      </c>
      <c r="C5" s="363">
        <v>5.7</v>
      </c>
      <c r="D5" s="362"/>
      <c r="E5" s="362" t="s">
        <v>35</v>
      </c>
      <c r="F5" s="364" t="s">
        <v>23</v>
      </c>
      <c r="G5" s="365" t="s">
        <v>23</v>
      </c>
      <c r="H5" s="366" t="s">
        <v>1511</v>
      </c>
      <c r="I5" s="367" t="s">
        <v>23</v>
      </c>
    </row>
    <row r="6" spans="1:9" ht="12.3">
      <c r="A6" s="361">
        <v>41283</v>
      </c>
      <c r="B6" s="369" t="s">
        <v>226</v>
      </c>
      <c r="C6" s="363">
        <v>6</v>
      </c>
      <c r="D6" s="362">
        <v>99</v>
      </c>
      <c r="E6" s="362" t="s">
        <v>1364</v>
      </c>
      <c r="F6" s="364" t="s">
        <v>23</v>
      </c>
      <c r="G6" s="365" t="s">
        <v>23</v>
      </c>
      <c r="H6" s="366" t="s">
        <v>1511</v>
      </c>
      <c r="I6" s="367" t="s">
        <v>23</v>
      </c>
    </row>
    <row r="7" spans="1:9" ht="12.3">
      <c r="A7" s="361">
        <v>41283</v>
      </c>
      <c r="B7" s="362" t="s">
        <v>1580</v>
      </c>
      <c r="C7" s="363" t="s">
        <v>1771</v>
      </c>
      <c r="D7" s="362">
        <v>21</v>
      </c>
      <c r="E7" s="362" t="s">
        <v>684</v>
      </c>
      <c r="F7" s="364" t="s">
        <v>23</v>
      </c>
      <c r="G7" s="365" t="s">
        <v>23</v>
      </c>
      <c r="H7" s="366" t="s">
        <v>1478</v>
      </c>
      <c r="I7" s="367" t="s">
        <v>23</v>
      </c>
    </row>
    <row r="8" spans="1:9" ht="12.3">
      <c r="A8" s="361">
        <v>41286</v>
      </c>
      <c r="B8" s="369" t="s">
        <v>1945</v>
      </c>
      <c r="C8" s="363">
        <v>5.3</v>
      </c>
      <c r="D8" s="362">
        <v>9</v>
      </c>
      <c r="E8" s="362"/>
      <c r="F8" s="364" t="s">
        <v>23</v>
      </c>
      <c r="G8" s="365">
        <v>1</v>
      </c>
      <c r="H8" s="366">
        <v>3</v>
      </c>
      <c r="I8" s="367" t="s">
        <v>23</v>
      </c>
    </row>
    <row r="9" spans="1:9" ht="12.3">
      <c r="A9" s="361">
        <v>41286</v>
      </c>
      <c r="B9" s="362" t="s">
        <v>1946</v>
      </c>
      <c r="C9" s="363">
        <v>4</v>
      </c>
      <c r="D9" s="362">
        <v>4</v>
      </c>
      <c r="E9" s="362"/>
      <c r="F9" s="364" t="s">
        <v>23</v>
      </c>
      <c r="G9" s="365" t="s">
        <v>23</v>
      </c>
      <c r="H9" s="366">
        <v>2</v>
      </c>
      <c r="I9" s="367" t="s">
        <v>23</v>
      </c>
    </row>
    <row r="10" spans="1:9" ht="12.3">
      <c r="A10" s="361">
        <v>41289</v>
      </c>
      <c r="B10" s="369" t="s">
        <v>1481</v>
      </c>
      <c r="C10" s="363">
        <v>4.0999999999999996</v>
      </c>
      <c r="D10" s="362">
        <v>9</v>
      </c>
      <c r="E10" s="362"/>
      <c r="F10" s="364" t="s">
        <v>23</v>
      </c>
      <c r="G10" s="365" t="s">
        <v>23</v>
      </c>
      <c r="H10" s="366">
        <v>3</v>
      </c>
      <c r="I10" s="367" t="s">
        <v>23</v>
      </c>
    </row>
    <row r="11" spans="1:9" ht="12.3">
      <c r="A11" s="361">
        <v>41292</v>
      </c>
      <c r="B11" s="369" t="s">
        <v>1477</v>
      </c>
      <c r="C11" s="363">
        <v>5.4</v>
      </c>
      <c r="D11" s="362">
        <v>15</v>
      </c>
      <c r="E11" s="362"/>
      <c r="F11" s="364" t="s">
        <v>23</v>
      </c>
      <c r="G11" s="365">
        <v>1</v>
      </c>
      <c r="H11" s="366" t="s">
        <v>1508</v>
      </c>
      <c r="I11" s="367" t="s">
        <v>23</v>
      </c>
    </row>
    <row r="12" spans="1:9" ht="12.3">
      <c r="A12" s="361">
        <v>41295</v>
      </c>
      <c r="B12" s="362" t="s">
        <v>1708</v>
      </c>
      <c r="C12" s="363">
        <v>5.4</v>
      </c>
      <c r="D12" s="362">
        <v>32</v>
      </c>
      <c r="E12" s="362"/>
      <c r="F12" s="364" t="s">
        <v>23</v>
      </c>
      <c r="G12" s="365" t="s">
        <v>23</v>
      </c>
      <c r="H12" s="366" t="s">
        <v>1478</v>
      </c>
      <c r="I12" s="367" t="s">
        <v>23</v>
      </c>
    </row>
    <row r="13" spans="1:9" ht="12.3">
      <c r="A13" s="371">
        <v>41295</v>
      </c>
      <c r="B13" s="372" t="s">
        <v>1947</v>
      </c>
      <c r="C13" s="373">
        <v>6</v>
      </c>
      <c r="D13" s="372">
        <v>17</v>
      </c>
      <c r="E13" s="372" t="s">
        <v>123</v>
      </c>
      <c r="F13" s="374">
        <v>1</v>
      </c>
      <c r="G13" s="375">
        <v>15</v>
      </c>
      <c r="H13" s="376">
        <v>3</v>
      </c>
      <c r="I13" s="377" t="s">
        <v>23</v>
      </c>
    </row>
    <row r="14" spans="1:9" ht="12.3">
      <c r="A14" s="361">
        <v>41296</v>
      </c>
      <c r="B14" s="369" t="s">
        <v>1816</v>
      </c>
      <c r="C14" s="363">
        <v>4.9000000000000004</v>
      </c>
      <c r="D14" s="362">
        <v>7</v>
      </c>
      <c r="E14" s="362"/>
      <c r="F14" s="364" t="s">
        <v>23</v>
      </c>
      <c r="G14" s="365">
        <v>2</v>
      </c>
      <c r="H14" s="366">
        <v>3</v>
      </c>
      <c r="I14" s="367" t="s">
        <v>23</v>
      </c>
    </row>
    <row r="15" spans="1:9" ht="12.3">
      <c r="A15" s="361">
        <v>41297</v>
      </c>
      <c r="B15" s="369" t="s">
        <v>1594</v>
      </c>
      <c r="C15" s="363">
        <v>5.0999999999999996</v>
      </c>
      <c r="D15" s="362">
        <v>10</v>
      </c>
      <c r="E15" s="362"/>
      <c r="F15" s="364" t="s">
        <v>23</v>
      </c>
      <c r="G15" s="365" t="s">
        <v>23</v>
      </c>
      <c r="H15" s="366" t="s">
        <v>1508</v>
      </c>
      <c r="I15" s="367" t="s">
        <v>23</v>
      </c>
    </row>
    <row r="16" spans="1:9" ht="12.3">
      <c r="A16" s="361">
        <v>41298</v>
      </c>
      <c r="B16" s="362" t="s">
        <v>378</v>
      </c>
      <c r="C16" s="363">
        <v>4.5</v>
      </c>
      <c r="D16" s="362"/>
      <c r="E16" s="362"/>
      <c r="F16" s="364" t="s">
        <v>23</v>
      </c>
      <c r="G16" s="365" t="s">
        <v>23</v>
      </c>
      <c r="H16" s="366">
        <v>1</v>
      </c>
      <c r="I16" s="367" t="s">
        <v>23</v>
      </c>
    </row>
    <row r="17" spans="1:9" ht="12.3">
      <c r="A17" s="361">
        <v>41299</v>
      </c>
      <c r="B17" s="362" t="s">
        <v>1878</v>
      </c>
      <c r="C17" s="363" t="s">
        <v>1860</v>
      </c>
      <c r="D17" s="362">
        <v>5</v>
      </c>
      <c r="E17" s="362" t="s">
        <v>134</v>
      </c>
      <c r="F17" s="364" t="s">
        <v>23</v>
      </c>
      <c r="G17" s="365" t="s">
        <v>23</v>
      </c>
      <c r="H17" s="366">
        <v>1</v>
      </c>
      <c r="I17" s="367" t="s">
        <v>23</v>
      </c>
    </row>
    <row r="18" spans="1:9" ht="12.3">
      <c r="A18" s="361">
        <v>41299</v>
      </c>
      <c r="B18" s="369" t="s">
        <v>1945</v>
      </c>
      <c r="C18" s="363">
        <v>5</v>
      </c>
      <c r="D18" s="362">
        <v>7</v>
      </c>
      <c r="E18" s="362"/>
      <c r="F18" s="364" t="s">
        <v>23</v>
      </c>
      <c r="G18" s="365">
        <v>1</v>
      </c>
      <c r="H18" s="366" t="s">
        <v>1511</v>
      </c>
      <c r="I18" s="367" t="s">
        <v>23</v>
      </c>
    </row>
    <row r="19" spans="1:9" ht="12.3">
      <c r="A19" s="361">
        <v>41299</v>
      </c>
      <c r="B19" s="362" t="s">
        <v>1948</v>
      </c>
      <c r="C19" s="363">
        <v>5</v>
      </c>
      <c r="D19" s="362">
        <v>5</v>
      </c>
      <c r="E19" s="362" t="s">
        <v>134</v>
      </c>
      <c r="F19" s="364" t="s">
        <v>23</v>
      </c>
      <c r="G19" s="365" t="s">
        <v>23</v>
      </c>
      <c r="H19" s="366">
        <v>2</v>
      </c>
      <c r="I19" s="367" t="s">
        <v>23</v>
      </c>
    </row>
    <row r="20" spans="1:9" ht="12.3">
      <c r="A20" s="361">
        <v>41300</v>
      </c>
      <c r="B20" s="362" t="s">
        <v>1455</v>
      </c>
      <c r="C20" s="363">
        <v>5.3</v>
      </c>
      <c r="D20" s="362">
        <v>14</v>
      </c>
      <c r="E20" s="362" t="s">
        <v>35</v>
      </c>
      <c r="F20" s="364" t="s">
        <v>23</v>
      </c>
      <c r="G20" s="365" t="s">
        <v>23</v>
      </c>
      <c r="H20" s="366" t="s">
        <v>1478</v>
      </c>
      <c r="I20" s="367" t="s">
        <v>23</v>
      </c>
    </row>
    <row r="21" spans="1:9" ht="12.3">
      <c r="A21" s="361">
        <v>41300</v>
      </c>
      <c r="B21" s="362" t="s">
        <v>915</v>
      </c>
      <c r="C21" s="363">
        <v>3.6</v>
      </c>
      <c r="D21" s="362"/>
      <c r="E21" s="362" t="s">
        <v>134</v>
      </c>
      <c r="F21" s="364" t="s">
        <v>23</v>
      </c>
      <c r="G21" s="365" t="s">
        <v>23</v>
      </c>
      <c r="H21" s="366">
        <v>1</v>
      </c>
      <c r="I21" s="367" t="s">
        <v>23</v>
      </c>
    </row>
    <row r="22" spans="1:9" ht="12.3">
      <c r="A22" s="361">
        <v>41300</v>
      </c>
      <c r="B22" s="369" t="s">
        <v>1552</v>
      </c>
      <c r="C22" s="363">
        <v>4.8</v>
      </c>
      <c r="D22" s="362">
        <v>18</v>
      </c>
      <c r="E22" s="362"/>
      <c r="F22" s="364" t="s">
        <v>23</v>
      </c>
      <c r="G22" s="365">
        <v>34</v>
      </c>
      <c r="H22" s="366">
        <v>2</v>
      </c>
      <c r="I22" s="367" t="s">
        <v>23</v>
      </c>
    </row>
    <row r="23" spans="1:9" ht="12.3">
      <c r="A23" s="380">
        <v>41302</v>
      </c>
      <c r="B23" s="369" t="s">
        <v>1417</v>
      </c>
      <c r="C23" s="381">
        <v>6.1</v>
      </c>
      <c r="D23" s="369">
        <v>11</v>
      </c>
      <c r="E23" s="369" t="s">
        <v>123</v>
      </c>
      <c r="F23" s="374" t="s">
        <v>23</v>
      </c>
      <c r="G23" s="375" t="s">
        <v>23</v>
      </c>
      <c r="H23" s="382" t="s">
        <v>1653</v>
      </c>
      <c r="I23" s="383" t="s">
        <v>23</v>
      </c>
    </row>
    <row r="24" spans="1:9" ht="12.3">
      <c r="A24" s="361">
        <v>41304</v>
      </c>
      <c r="B24" s="362" t="s">
        <v>1706</v>
      </c>
      <c r="C24" s="363">
        <v>5.2</v>
      </c>
      <c r="D24" s="362">
        <v>20</v>
      </c>
      <c r="E24" s="362"/>
      <c r="F24" s="364" t="s">
        <v>23</v>
      </c>
      <c r="G24" s="365" t="s">
        <v>23</v>
      </c>
      <c r="H24" s="366">
        <v>2</v>
      </c>
      <c r="I24" s="367" t="s">
        <v>23</v>
      </c>
    </row>
    <row r="25" spans="1:9" ht="12.3">
      <c r="A25" s="371">
        <v>41304</v>
      </c>
      <c r="B25" s="372" t="s">
        <v>1636</v>
      </c>
      <c r="C25" s="373">
        <v>6.8</v>
      </c>
      <c r="D25" s="372">
        <v>45</v>
      </c>
      <c r="E25" s="372" t="s">
        <v>35</v>
      </c>
      <c r="F25" s="374">
        <v>1</v>
      </c>
      <c r="G25" s="375">
        <v>11</v>
      </c>
      <c r="H25" s="376">
        <v>2</v>
      </c>
      <c r="I25" s="377" t="s">
        <v>23</v>
      </c>
    </row>
    <row r="26" spans="1:9" ht="12.3">
      <c r="A26" s="361">
        <v>41305</v>
      </c>
      <c r="B26" s="369" t="s">
        <v>1949</v>
      </c>
      <c r="C26" s="363">
        <v>4.7</v>
      </c>
      <c r="D26" s="362">
        <v>10</v>
      </c>
      <c r="E26" s="362" t="s">
        <v>134</v>
      </c>
      <c r="F26" s="364" t="s">
        <v>23</v>
      </c>
      <c r="G26" s="365">
        <v>1</v>
      </c>
      <c r="H26" s="366" t="s">
        <v>23</v>
      </c>
      <c r="I26" s="367" t="s">
        <v>23</v>
      </c>
    </row>
    <row r="27" spans="1:9" ht="12.3">
      <c r="A27" s="361">
        <v>41305</v>
      </c>
      <c r="B27" s="362" t="s">
        <v>105</v>
      </c>
      <c r="C27" s="363">
        <v>4</v>
      </c>
      <c r="D27" s="362">
        <v>8</v>
      </c>
      <c r="E27" s="362"/>
      <c r="F27" s="364" t="s">
        <v>23</v>
      </c>
      <c r="G27" s="365" t="s">
        <v>23</v>
      </c>
      <c r="H27" s="366">
        <v>2</v>
      </c>
      <c r="I27" s="367" t="s">
        <v>23</v>
      </c>
    </row>
    <row r="28" spans="1:9" ht="12.3">
      <c r="A28" s="361">
        <v>41307</v>
      </c>
      <c r="B28" s="362" t="s">
        <v>915</v>
      </c>
      <c r="C28" s="363">
        <v>4.5</v>
      </c>
      <c r="D28" s="362">
        <v>7</v>
      </c>
      <c r="E28" s="362" t="s">
        <v>35</v>
      </c>
      <c r="F28" s="364" t="s">
        <v>23</v>
      </c>
      <c r="G28" s="365" t="s">
        <v>23</v>
      </c>
      <c r="H28" s="366">
        <v>2</v>
      </c>
      <c r="I28" s="367" t="s">
        <v>23</v>
      </c>
    </row>
    <row r="29" spans="1:9" ht="12.3">
      <c r="A29" s="361">
        <v>41307</v>
      </c>
      <c r="B29" s="369" t="s">
        <v>1950</v>
      </c>
      <c r="C29" s="363">
        <v>6.9</v>
      </c>
      <c r="D29" s="362">
        <v>130</v>
      </c>
      <c r="E29" s="362" t="s">
        <v>35</v>
      </c>
      <c r="F29" s="364" t="s">
        <v>23</v>
      </c>
      <c r="G29" s="365">
        <v>13</v>
      </c>
      <c r="H29" s="366">
        <v>2</v>
      </c>
      <c r="I29" s="367" t="s">
        <v>23</v>
      </c>
    </row>
    <row r="30" spans="1:9" ht="12.3">
      <c r="A30" s="361">
        <v>41308</v>
      </c>
      <c r="B30" s="362" t="s">
        <v>1951</v>
      </c>
      <c r="C30" s="363" t="s">
        <v>1875</v>
      </c>
      <c r="D30" s="362">
        <v>2</v>
      </c>
      <c r="E30" s="362" t="s">
        <v>35</v>
      </c>
      <c r="F30" s="364" t="s">
        <v>23</v>
      </c>
      <c r="G30" s="365" t="s">
        <v>23</v>
      </c>
      <c r="H30" s="366">
        <v>2</v>
      </c>
      <c r="I30" s="367" t="s">
        <v>23</v>
      </c>
    </row>
    <row r="31" spans="1:9" ht="12.3">
      <c r="A31" s="361">
        <v>41308</v>
      </c>
      <c r="B31" s="362" t="s">
        <v>512</v>
      </c>
      <c r="C31" s="363" t="s">
        <v>1772</v>
      </c>
      <c r="D31" s="362">
        <v>2</v>
      </c>
      <c r="E31" s="362"/>
      <c r="F31" s="364" t="s">
        <v>23</v>
      </c>
      <c r="G31" s="365" t="s">
        <v>23</v>
      </c>
      <c r="H31" s="366" t="s">
        <v>1478</v>
      </c>
      <c r="I31" s="367" t="s">
        <v>23</v>
      </c>
    </row>
    <row r="32" spans="1:9" ht="14.25" customHeight="1">
      <c r="A32" s="361">
        <v>41309</v>
      </c>
      <c r="B32" s="369" t="s">
        <v>1952</v>
      </c>
      <c r="C32" s="363">
        <v>3.2</v>
      </c>
      <c r="D32" s="362"/>
      <c r="E32" s="362"/>
      <c r="F32" s="364" t="s">
        <v>23</v>
      </c>
      <c r="G32" s="365">
        <v>1</v>
      </c>
      <c r="H32" s="366">
        <v>3</v>
      </c>
      <c r="I32" s="367" t="s">
        <v>23</v>
      </c>
    </row>
    <row r="33" spans="1:9" ht="12.3">
      <c r="A33" s="361">
        <v>41311</v>
      </c>
      <c r="B33" s="362" t="s">
        <v>1702</v>
      </c>
      <c r="C33" s="363">
        <v>4.3</v>
      </c>
      <c r="D33" s="362">
        <v>35</v>
      </c>
      <c r="E33" s="362"/>
      <c r="F33" s="364" t="s">
        <v>23</v>
      </c>
      <c r="G33" s="365" t="s">
        <v>23</v>
      </c>
      <c r="H33" s="366">
        <v>2</v>
      </c>
      <c r="I33" s="367" t="s">
        <v>23</v>
      </c>
    </row>
    <row r="34" spans="1:9" ht="12.3">
      <c r="A34" s="371">
        <v>41311</v>
      </c>
      <c r="B34" s="372" t="s">
        <v>1954</v>
      </c>
      <c r="C34" s="373">
        <v>8</v>
      </c>
      <c r="D34" s="372">
        <v>29</v>
      </c>
      <c r="E34" s="372" t="s">
        <v>363</v>
      </c>
      <c r="F34" s="374">
        <v>16</v>
      </c>
      <c r="G34" s="375">
        <v>17</v>
      </c>
      <c r="H34" s="376">
        <v>5</v>
      </c>
      <c r="I34" s="377" t="s">
        <v>1955</v>
      </c>
    </row>
    <row r="35" spans="1:9" ht="12.3">
      <c r="A35" s="361">
        <v>41311</v>
      </c>
      <c r="B35" s="362" t="s">
        <v>1956</v>
      </c>
      <c r="C35" s="363" t="s">
        <v>1771</v>
      </c>
      <c r="D35" s="362">
        <v>20</v>
      </c>
      <c r="E35" s="362" t="s">
        <v>1364</v>
      </c>
      <c r="F35" s="364" t="s">
        <v>23</v>
      </c>
      <c r="G35" s="365" t="s">
        <v>23</v>
      </c>
      <c r="H35" s="366">
        <v>2</v>
      </c>
      <c r="I35" s="367" t="s">
        <v>23</v>
      </c>
    </row>
    <row r="36" spans="1:9" ht="12.3">
      <c r="A36" s="361">
        <v>41312</v>
      </c>
      <c r="B36" s="369" t="s">
        <v>1526</v>
      </c>
      <c r="C36" s="363">
        <v>4.5999999999999996</v>
      </c>
      <c r="D36" s="362">
        <v>14</v>
      </c>
      <c r="E36" s="362"/>
      <c r="F36" s="364" t="s">
        <v>23</v>
      </c>
      <c r="G36" s="365">
        <v>1</v>
      </c>
      <c r="H36" s="366">
        <v>3</v>
      </c>
      <c r="I36" s="367" t="s">
        <v>23</v>
      </c>
    </row>
    <row r="37" spans="1:9" ht="12.3">
      <c r="A37" s="361">
        <v>41312</v>
      </c>
      <c r="B37" s="362" t="s">
        <v>1957</v>
      </c>
      <c r="C37" s="363"/>
      <c r="D37" s="362"/>
      <c r="E37" s="362"/>
      <c r="F37" s="364" t="s">
        <v>23</v>
      </c>
      <c r="G37" s="365" t="s">
        <v>23</v>
      </c>
      <c r="H37" s="366">
        <v>2</v>
      </c>
      <c r="I37" s="367" t="s">
        <v>23</v>
      </c>
    </row>
    <row r="38" spans="1:9" ht="12.3">
      <c r="A38" s="361">
        <v>41312</v>
      </c>
      <c r="B38" s="362" t="s">
        <v>1958</v>
      </c>
      <c r="C38" s="363">
        <v>5.6</v>
      </c>
      <c r="D38" s="362"/>
      <c r="E38" s="362"/>
      <c r="F38" s="364" t="s">
        <v>23</v>
      </c>
      <c r="G38" s="365" t="s">
        <v>23</v>
      </c>
      <c r="H38" s="366">
        <v>2</v>
      </c>
      <c r="I38" s="367" t="s">
        <v>23</v>
      </c>
    </row>
    <row r="39" spans="1:9" ht="12.3">
      <c r="A39" s="361">
        <v>41313</v>
      </c>
      <c r="B39" s="362" t="s">
        <v>615</v>
      </c>
      <c r="C39" s="363" t="s">
        <v>1602</v>
      </c>
      <c r="D39" s="362">
        <v>3</v>
      </c>
      <c r="E39" s="362"/>
      <c r="F39" s="364" t="s">
        <v>23</v>
      </c>
      <c r="G39" s="365" t="s">
        <v>23</v>
      </c>
      <c r="H39" s="366">
        <v>2</v>
      </c>
      <c r="I39" s="367" t="s">
        <v>23</v>
      </c>
    </row>
    <row r="40" spans="1:9" ht="12.3">
      <c r="A40" s="361">
        <v>41313</v>
      </c>
      <c r="B40" s="362" t="s">
        <v>1959</v>
      </c>
      <c r="C40" s="363">
        <v>7</v>
      </c>
      <c r="D40" s="362">
        <v>27</v>
      </c>
      <c r="E40" s="362" t="s">
        <v>363</v>
      </c>
      <c r="F40" s="364" t="s">
        <v>23</v>
      </c>
      <c r="G40" s="365"/>
      <c r="H40" s="366"/>
      <c r="I40" s="367" t="s">
        <v>638</v>
      </c>
    </row>
    <row r="41" spans="1:9" ht="12.3">
      <c r="A41" s="361">
        <v>41314</v>
      </c>
      <c r="B41" s="369" t="s">
        <v>378</v>
      </c>
      <c r="C41" s="363">
        <v>6.9</v>
      </c>
      <c r="D41" s="362">
        <v>154</v>
      </c>
      <c r="E41" s="362" t="s">
        <v>365</v>
      </c>
      <c r="F41" s="364" t="s">
        <v>23</v>
      </c>
      <c r="G41" s="365">
        <v>15</v>
      </c>
      <c r="H41" s="366">
        <v>4</v>
      </c>
      <c r="I41" s="367" t="s">
        <v>23</v>
      </c>
    </row>
    <row r="42" spans="1:9" ht="12.3">
      <c r="A42" s="388">
        <v>41317</v>
      </c>
      <c r="B42" s="389" t="s">
        <v>1960</v>
      </c>
      <c r="C42" s="390" t="s">
        <v>1485</v>
      </c>
      <c r="D42" s="389">
        <v>1</v>
      </c>
      <c r="E42" s="389" t="s">
        <v>35</v>
      </c>
      <c r="F42" s="391" t="s">
        <v>23</v>
      </c>
      <c r="G42" s="392">
        <v>1</v>
      </c>
      <c r="H42" s="393"/>
      <c r="I42" s="394" t="s">
        <v>23</v>
      </c>
    </row>
    <row r="43" spans="1:9" ht="12.3">
      <c r="A43" s="361">
        <v>41317</v>
      </c>
      <c r="B43" s="362" t="s">
        <v>1945</v>
      </c>
      <c r="C43" s="363">
        <v>4.4000000000000004</v>
      </c>
      <c r="D43" s="362">
        <v>8</v>
      </c>
      <c r="E43" s="362"/>
      <c r="F43" s="364" t="s">
        <v>23</v>
      </c>
      <c r="G43" s="365" t="s">
        <v>23</v>
      </c>
      <c r="H43" s="366">
        <v>2</v>
      </c>
      <c r="I43" s="367" t="s">
        <v>23</v>
      </c>
    </row>
    <row r="44" spans="1:9" ht="12.3">
      <c r="A44" s="361">
        <v>41317</v>
      </c>
      <c r="B44" s="362" t="s">
        <v>105</v>
      </c>
      <c r="C44" s="363">
        <v>4.4000000000000004</v>
      </c>
      <c r="D44" s="362"/>
      <c r="E44" s="362"/>
      <c r="F44" s="364" t="s">
        <v>23</v>
      </c>
      <c r="G44" s="365" t="s">
        <v>23</v>
      </c>
      <c r="H44" s="366">
        <v>2</v>
      </c>
      <c r="I44" s="367" t="s">
        <v>23</v>
      </c>
    </row>
    <row r="45" spans="1:9" ht="12.3">
      <c r="A45" s="371">
        <v>41321</v>
      </c>
      <c r="B45" s="372" t="s">
        <v>1664</v>
      </c>
      <c r="C45" s="395" t="s">
        <v>294</v>
      </c>
      <c r="D45" s="372">
        <v>11</v>
      </c>
      <c r="E45" s="372" t="s">
        <v>134</v>
      </c>
      <c r="F45" s="374">
        <v>1</v>
      </c>
      <c r="G45" s="375" t="s">
        <v>23</v>
      </c>
      <c r="H45" s="376">
        <v>2</v>
      </c>
      <c r="I45" s="377" t="s">
        <v>23</v>
      </c>
    </row>
    <row r="46" spans="1:9" ht="12.3">
      <c r="A46" s="361">
        <v>41324</v>
      </c>
      <c r="B46" s="369" t="s">
        <v>1526</v>
      </c>
      <c r="C46" s="363">
        <v>5</v>
      </c>
      <c r="D46" s="362">
        <v>6</v>
      </c>
      <c r="E46" s="362"/>
      <c r="F46" s="364" t="s">
        <v>23</v>
      </c>
      <c r="G46" s="365">
        <v>8</v>
      </c>
      <c r="H46" s="366">
        <v>4</v>
      </c>
      <c r="I46" s="367" t="s">
        <v>23</v>
      </c>
    </row>
    <row r="47" spans="1:9" ht="12.3">
      <c r="A47" s="361">
        <v>41324</v>
      </c>
      <c r="B47" s="369" t="s">
        <v>1477</v>
      </c>
      <c r="C47" s="363">
        <v>4.7</v>
      </c>
      <c r="D47" s="362">
        <v>18</v>
      </c>
      <c r="E47" s="362"/>
      <c r="F47" s="364" t="s">
        <v>23</v>
      </c>
      <c r="G47" s="365" t="s">
        <v>23</v>
      </c>
      <c r="H47" s="366">
        <v>3</v>
      </c>
      <c r="I47" s="367" t="s">
        <v>23</v>
      </c>
    </row>
    <row r="48" spans="1:9" ht="12.3">
      <c r="A48" s="361">
        <v>41324</v>
      </c>
      <c r="B48" s="369" t="s">
        <v>1546</v>
      </c>
      <c r="C48" s="363">
        <v>4.7</v>
      </c>
      <c r="D48" s="362">
        <v>7</v>
      </c>
      <c r="E48" s="362"/>
      <c r="F48" s="364" t="s">
        <v>23</v>
      </c>
      <c r="G48" s="365" t="s">
        <v>23</v>
      </c>
      <c r="H48" s="366" t="s">
        <v>1511</v>
      </c>
      <c r="I48" s="367" t="s">
        <v>23</v>
      </c>
    </row>
    <row r="49" spans="1:9" ht="12.3">
      <c r="A49" s="361">
        <v>41324</v>
      </c>
      <c r="B49" s="369" t="s">
        <v>1961</v>
      </c>
      <c r="C49" s="363">
        <v>2.7</v>
      </c>
      <c r="D49" s="362">
        <v>6</v>
      </c>
      <c r="E49" s="362" t="s">
        <v>790</v>
      </c>
      <c r="F49" s="364" t="s">
        <v>23</v>
      </c>
      <c r="G49" s="365" t="s">
        <v>23</v>
      </c>
      <c r="H49" s="366">
        <v>2</v>
      </c>
      <c r="I49" s="367" t="s">
        <v>23</v>
      </c>
    </row>
    <row r="50" spans="1:9" ht="12.3">
      <c r="A50" s="361">
        <v>41325</v>
      </c>
      <c r="B50" s="369" t="s">
        <v>1526</v>
      </c>
      <c r="C50" s="396" t="s">
        <v>294</v>
      </c>
      <c r="D50" s="362">
        <v>5</v>
      </c>
      <c r="E50" s="362"/>
      <c r="F50" s="364" t="s">
        <v>23</v>
      </c>
      <c r="G50" s="365" t="s">
        <v>23</v>
      </c>
      <c r="H50" s="366">
        <v>3</v>
      </c>
      <c r="I50" s="367" t="s">
        <v>23</v>
      </c>
    </row>
    <row r="51" spans="1:9" ht="12.3">
      <c r="A51" s="361">
        <v>41325</v>
      </c>
      <c r="B51" s="362" t="s">
        <v>1962</v>
      </c>
      <c r="C51" s="362">
        <v>3.5</v>
      </c>
      <c r="D51" s="362"/>
      <c r="E51" s="362"/>
      <c r="F51" s="364" t="s">
        <v>23</v>
      </c>
      <c r="G51" s="365" t="s">
        <v>23</v>
      </c>
      <c r="H51" s="366" t="s">
        <v>1478</v>
      </c>
      <c r="I51" s="367" t="s">
        <v>23</v>
      </c>
    </row>
    <row r="52" spans="1:9" ht="12.3">
      <c r="A52" s="361">
        <v>41326</v>
      </c>
      <c r="B52" s="362" t="s">
        <v>1526</v>
      </c>
      <c r="C52" s="363">
        <v>4.2</v>
      </c>
      <c r="D52" s="362">
        <v>14</v>
      </c>
      <c r="E52" s="362"/>
      <c r="F52" s="364" t="s">
        <v>23</v>
      </c>
      <c r="G52" s="365" t="s">
        <v>23</v>
      </c>
      <c r="H52" s="397">
        <v>2</v>
      </c>
      <c r="I52" s="367" t="s">
        <v>23</v>
      </c>
    </row>
    <row r="53" spans="1:9" ht="12.3">
      <c r="A53" s="361">
        <v>41327</v>
      </c>
      <c r="B53" s="362" t="s">
        <v>1909</v>
      </c>
      <c r="C53" s="363">
        <v>4.8</v>
      </c>
      <c r="D53" s="362">
        <v>11</v>
      </c>
      <c r="E53" s="362"/>
      <c r="F53" s="364" t="s">
        <v>23</v>
      </c>
      <c r="G53" s="365" t="s">
        <v>23</v>
      </c>
      <c r="H53" s="397">
        <v>2</v>
      </c>
      <c r="I53" s="367" t="s">
        <v>23</v>
      </c>
    </row>
    <row r="54" spans="1:9" ht="12.3">
      <c r="A54" s="361">
        <v>41327</v>
      </c>
      <c r="B54" s="369" t="s">
        <v>1919</v>
      </c>
      <c r="C54" s="363">
        <v>5.3</v>
      </c>
      <c r="D54" s="362">
        <v>10</v>
      </c>
      <c r="E54" s="362" t="s">
        <v>35</v>
      </c>
      <c r="F54" s="364" t="s">
        <v>23</v>
      </c>
      <c r="G54" s="365">
        <v>31</v>
      </c>
      <c r="H54" s="366">
        <v>3</v>
      </c>
      <c r="I54" s="367" t="s">
        <v>23</v>
      </c>
    </row>
    <row r="55" spans="1:9" ht="12.3">
      <c r="A55" s="361">
        <v>41330</v>
      </c>
      <c r="B55" s="362" t="s">
        <v>1949</v>
      </c>
      <c r="C55" s="363">
        <v>5.8</v>
      </c>
      <c r="D55" s="362">
        <v>10</v>
      </c>
      <c r="E55" s="362" t="s">
        <v>123</v>
      </c>
      <c r="F55" s="364" t="s">
        <v>23</v>
      </c>
      <c r="G55" s="365" t="s">
        <v>23</v>
      </c>
      <c r="H55" s="366">
        <v>2</v>
      </c>
      <c r="I55" s="367" t="s">
        <v>23</v>
      </c>
    </row>
    <row r="56" spans="1:9" ht="12.3">
      <c r="A56" s="361">
        <v>41332</v>
      </c>
      <c r="B56" s="362" t="s">
        <v>1471</v>
      </c>
      <c r="C56" s="363" t="s">
        <v>1608</v>
      </c>
      <c r="D56" s="362">
        <v>9</v>
      </c>
      <c r="E56" s="362" t="s">
        <v>684</v>
      </c>
      <c r="F56" s="364" t="s">
        <v>23</v>
      </c>
      <c r="G56" s="365" t="s">
        <v>23</v>
      </c>
      <c r="H56" s="366">
        <v>2</v>
      </c>
      <c r="I56" s="367" t="s">
        <v>23</v>
      </c>
    </row>
    <row r="57" spans="1:9" ht="12.3">
      <c r="A57" s="361">
        <v>41333</v>
      </c>
      <c r="B57" s="362" t="s">
        <v>1963</v>
      </c>
      <c r="C57" s="363">
        <v>6.1</v>
      </c>
      <c r="D57" s="362">
        <v>15</v>
      </c>
      <c r="E57" s="362" t="s">
        <v>684</v>
      </c>
      <c r="F57" s="364" t="s">
        <v>23</v>
      </c>
      <c r="G57" s="365" t="s">
        <v>23</v>
      </c>
      <c r="H57" s="366">
        <v>1</v>
      </c>
      <c r="I57" s="367" t="s">
        <v>23</v>
      </c>
    </row>
    <row r="58" spans="1:9" ht="12.3">
      <c r="A58" s="361">
        <v>41335</v>
      </c>
      <c r="B58" s="362" t="s">
        <v>414</v>
      </c>
      <c r="C58" s="363">
        <v>4</v>
      </c>
      <c r="D58" s="362"/>
      <c r="E58" s="362"/>
      <c r="F58" s="364" t="s">
        <v>23</v>
      </c>
      <c r="G58" s="365" t="s">
        <v>23</v>
      </c>
      <c r="H58" s="366">
        <v>2</v>
      </c>
      <c r="I58" s="367" t="s">
        <v>23</v>
      </c>
    </row>
    <row r="59" spans="1:9" ht="12.3">
      <c r="A59" s="361">
        <v>41335</v>
      </c>
      <c r="B59" s="362" t="s">
        <v>445</v>
      </c>
      <c r="C59" s="363">
        <v>3.4</v>
      </c>
      <c r="D59" s="362"/>
      <c r="E59" s="362"/>
      <c r="F59" s="364" t="s">
        <v>23</v>
      </c>
      <c r="G59" s="365" t="s">
        <v>23</v>
      </c>
      <c r="H59" s="366" t="s">
        <v>1478</v>
      </c>
      <c r="I59" s="367" t="s">
        <v>23</v>
      </c>
    </row>
    <row r="60" spans="1:9" ht="12.3">
      <c r="A60" s="361">
        <v>41335</v>
      </c>
      <c r="B60" s="362" t="s">
        <v>1831</v>
      </c>
      <c r="C60" s="363">
        <v>5.2</v>
      </c>
      <c r="D60" s="362"/>
      <c r="E60" s="362"/>
      <c r="F60" s="364" t="s">
        <v>23</v>
      </c>
      <c r="G60" s="365" t="s">
        <v>23</v>
      </c>
      <c r="H60" s="366">
        <v>2</v>
      </c>
      <c r="I60" s="367" t="s">
        <v>23</v>
      </c>
    </row>
    <row r="61" spans="1:9" ht="12.3">
      <c r="A61" s="361">
        <v>41335</v>
      </c>
      <c r="B61" s="362" t="s">
        <v>1946</v>
      </c>
      <c r="C61" s="363">
        <v>4.5999999999999996</v>
      </c>
      <c r="D61" s="362">
        <v>8</v>
      </c>
      <c r="E61" s="362"/>
      <c r="F61" s="364" t="s">
        <v>23</v>
      </c>
      <c r="G61" s="365" t="s">
        <v>23</v>
      </c>
      <c r="H61" s="366">
        <v>2</v>
      </c>
      <c r="I61" s="367" t="s">
        <v>23</v>
      </c>
    </row>
    <row r="62" spans="1:9" ht="12.3">
      <c r="A62" s="361">
        <v>41335</v>
      </c>
      <c r="B62" s="362" t="s">
        <v>67</v>
      </c>
      <c r="C62" s="363" t="s">
        <v>1572</v>
      </c>
      <c r="D62" s="362">
        <v>5</v>
      </c>
      <c r="E62" s="362"/>
      <c r="F62" s="364" t="s">
        <v>23</v>
      </c>
      <c r="G62" s="365" t="s">
        <v>23</v>
      </c>
      <c r="H62" s="366" t="s">
        <v>1478</v>
      </c>
      <c r="I62" s="367" t="s">
        <v>23</v>
      </c>
    </row>
    <row r="63" spans="1:9" ht="12.3">
      <c r="A63" s="380">
        <v>41336</v>
      </c>
      <c r="B63" s="369" t="s">
        <v>1526</v>
      </c>
      <c r="C63" s="381">
        <v>5.5</v>
      </c>
      <c r="D63" s="369">
        <v>9</v>
      </c>
      <c r="E63" s="369"/>
      <c r="F63" s="374" t="s">
        <v>23</v>
      </c>
      <c r="G63" s="375">
        <v>30</v>
      </c>
      <c r="H63" s="398" t="s">
        <v>1653</v>
      </c>
      <c r="I63" s="383" t="s">
        <v>23</v>
      </c>
    </row>
    <row r="64" spans="1:9" ht="12.3">
      <c r="A64" s="361">
        <v>41336</v>
      </c>
      <c r="B64" s="369" t="s">
        <v>403</v>
      </c>
      <c r="C64" s="363" t="s">
        <v>1964</v>
      </c>
      <c r="D64" s="362" t="s">
        <v>1965</v>
      </c>
      <c r="E64" s="362"/>
      <c r="F64" s="364" t="s">
        <v>23</v>
      </c>
      <c r="G64" s="365" t="s">
        <v>23</v>
      </c>
      <c r="H64" s="366">
        <v>3</v>
      </c>
      <c r="I64" s="367" t="s">
        <v>23</v>
      </c>
    </row>
    <row r="65" spans="1:9" ht="12.3">
      <c r="A65" s="361">
        <v>41337</v>
      </c>
      <c r="B65" s="362" t="s">
        <v>1947</v>
      </c>
      <c r="C65" s="363">
        <v>4.8</v>
      </c>
      <c r="D65" s="362"/>
      <c r="E65" s="362"/>
      <c r="F65" s="364" t="s">
        <v>23</v>
      </c>
      <c r="G65" s="365" t="s">
        <v>23</v>
      </c>
      <c r="H65" s="366">
        <v>2</v>
      </c>
      <c r="I65" s="367" t="s">
        <v>23</v>
      </c>
    </row>
    <row r="66" spans="1:9" ht="12.3">
      <c r="A66" s="361">
        <v>41339</v>
      </c>
      <c r="B66" s="369" t="s">
        <v>1001</v>
      </c>
      <c r="C66" s="363">
        <v>5</v>
      </c>
      <c r="D66" s="362">
        <v>4</v>
      </c>
      <c r="E66" s="362"/>
      <c r="F66" s="364" t="s">
        <v>23</v>
      </c>
      <c r="G66" s="365">
        <v>24</v>
      </c>
      <c r="H66" s="366" t="s">
        <v>1508</v>
      </c>
      <c r="I66" s="367" t="s">
        <v>23</v>
      </c>
    </row>
    <row r="67" spans="1:9" ht="12.3">
      <c r="A67" s="361">
        <v>41340</v>
      </c>
      <c r="B67" s="362" t="s">
        <v>105</v>
      </c>
      <c r="C67" s="363">
        <v>4.5</v>
      </c>
      <c r="D67" s="362"/>
      <c r="E67" s="362"/>
      <c r="F67" s="364" t="s">
        <v>23</v>
      </c>
      <c r="G67" s="365" t="s">
        <v>23</v>
      </c>
      <c r="H67" s="366">
        <v>2</v>
      </c>
      <c r="I67" s="367" t="s">
        <v>23</v>
      </c>
    </row>
    <row r="68" spans="1:9" ht="12.3">
      <c r="A68" s="361">
        <v>41344</v>
      </c>
      <c r="B68" s="369" t="s">
        <v>1481</v>
      </c>
      <c r="C68" s="363">
        <v>5.2</v>
      </c>
      <c r="D68" s="362">
        <v>8</v>
      </c>
      <c r="E68" s="362"/>
      <c r="F68" s="364" t="s">
        <v>23</v>
      </c>
      <c r="G68" s="365" t="s">
        <v>23</v>
      </c>
      <c r="H68" s="366">
        <v>4</v>
      </c>
      <c r="I68" s="367" t="s">
        <v>23</v>
      </c>
    </row>
    <row r="69" spans="1:9" ht="12.3">
      <c r="A69" s="361">
        <v>41344</v>
      </c>
      <c r="B69" s="362" t="s">
        <v>1222</v>
      </c>
      <c r="C69" s="363">
        <v>4.8</v>
      </c>
      <c r="D69" s="362">
        <v>18</v>
      </c>
      <c r="E69" s="362"/>
      <c r="F69" s="364" t="s">
        <v>23</v>
      </c>
      <c r="G69" s="365" t="s">
        <v>23</v>
      </c>
      <c r="H69" s="366">
        <v>2</v>
      </c>
      <c r="I69" s="367" t="s">
        <v>23</v>
      </c>
    </row>
    <row r="70" spans="1:9" ht="12.3">
      <c r="A70" s="361">
        <v>41348</v>
      </c>
      <c r="B70" s="362" t="s">
        <v>1966</v>
      </c>
      <c r="C70" s="363" t="s">
        <v>1541</v>
      </c>
      <c r="D70" s="362">
        <v>1</v>
      </c>
      <c r="E70" s="362"/>
      <c r="F70" s="364" t="s">
        <v>1935</v>
      </c>
      <c r="G70" s="365"/>
      <c r="H70" s="366" t="s">
        <v>1478</v>
      </c>
      <c r="I70" s="367" t="s">
        <v>23</v>
      </c>
    </row>
    <row r="71" spans="1:9" ht="12.3">
      <c r="A71" s="361">
        <v>41350</v>
      </c>
      <c r="B71" s="362" t="s">
        <v>1967</v>
      </c>
      <c r="C71" s="363">
        <v>3.7</v>
      </c>
      <c r="D71" s="362">
        <v>4</v>
      </c>
      <c r="E71" s="362"/>
      <c r="F71" s="364" t="s">
        <v>23</v>
      </c>
      <c r="G71" s="365" t="s">
        <v>23</v>
      </c>
      <c r="H71" s="366">
        <v>1</v>
      </c>
      <c r="I71" s="367" t="s">
        <v>23</v>
      </c>
    </row>
    <row r="72" spans="1:9" ht="12.3">
      <c r="A72" s="361">
        <v>41352</v>
      </c>
      <c r="B72" s="369" t="s">
        <v>1526</v>
      </c>
      <c r="C72" s="363">
        <v>4.2</v>
      </c>
      <c r="D72" s="362">
        <v>5</v>
      </c>
      <c r="E72" s="362"/>
      <c r="F72" s="364" t="s">
        <v>23</v>
      </c>
      <c r="G72" s="365" t="s">
        <v>23</v>
      </c>
      <c r="H72" s="366" t="s">
        <v>1511</v>
      </c>
      <c r="I72" s="367" t="s">
        <v>23</v>
      </c>
    </row>
    <row r="73" spans="1:9" ht="12.3">
      <c r="A73" s="361">
        <v>41352</v>
      </c>
      <c r="B73" s="369" t="s">
        <v>67</v>
      </c>
      <c r="C73" s="363" t="s">
        <v>1862</v>
      </c>
      <c r="D73" s="362">
        <v>2</v>
      </c>
      <c r="E73" s="362" t="s">
        <v>35</v>
      </c>
      <c r="F73" s="364" t="s">
        <v>23</v>
      </c>
      <c r="G73" s="365">
        <v>5</v>
      </c>
      <c r="H73" s="366">
        <v>2</v>
      </c>
      <c r="I73" s="367" t="s">
        <v>23</v>
      </c>
    </row>
    <row r="74" spans="1:9" ht="12.3">
      <c r="A74" s="361">
        <v>41354</v>
      </c>
      <c r="B74" s="362" t="s">
        <v>1968</v>
      </c>
      <c r="C74" s="363">
        <v>4.9000000000000004</v>
      </c>
      <c r="D74" s="362">
        <v>10</v>
      </c>
      <c r="E74" s="362"/>
      <c r="F74" s="364" t="s">
        <v>23</v>
      </c>
      <c r="G74" s="365" t="s">
        <v>23</v>
      </c>
      <c r="H74" s="366">
        <v>2</v>
      </c>
      <c r="I74" s="367" t="s">
        <v>23</v>
      </c>
    </row>
    <row r="75" spans="1:9" ht="12.3">
      <c r="A75" s="361">
        <v>41354</v>
      </c>
      <c r="B75" s="362" t="s">
        <v>1471</v>
      </c>
      <c r="C75" s="363" t="s">
        <v>1572</v>
      </c>
      <c r="D75" s="362">
        <v>5</v>
      </c>
      <c r="E75" s="362"/>
      <c r="F75" s="364" t="s">
        <v>23</v>
      </c>
      <c r="G75" s="365" t="s">
        <v>23</v>
      </c>
      <c r="H75" s="366" t="s">
        <v>1478</v>
      </c>
      <c r="I75" s="367" t="s">
        <v>23</v>
      </c>
    </row>
    <row r="76" spans="1:9" ht="12.3">
      <c r="A76" s="371">
        <v>41360</v>
      </c>
      <c r="B76" s="372" t="s">
        <v>1969</v>
      </c>
      <c r="C76" s="373">
        <v>6.1</v>
      </c>
      <c r="D76" s="372">
        <v>21</v>
      </c>
      <c r="E76" s="372" t="s">
        <v>134</v>
      </c>
      <c r="F76" s="374">
        <v>1</v>
      </c>
      <c r="G76" s="375">
        <v>97</v>
      </c>
      <c r="H76" s="376">
        <v>3</v>
      </c>
      <c r="I76" s="377" t="s">
        <v>23</v>
      </c>
    </row>
    <row r="77" spans="1:9" ht="12.3">
      <c r="A77" s="361">
        <v>41360</v>
      </c>
      <c r="B77" s="362" t="s">
        <v>1970</v>
      </c>
      <c r="C77" s="363">
        <v>2.6</v>
      </c>
      <c r="D77" s="362"/>
      <c r="E77" s="362"/>
      <c r="F77" s="364" t="s">
        <v>23</v>
      </c>
      <c r="G77" s="365" t="s">
        <v>23</v>
      </c>
      <c r="H77" s="366">
        <v>1</v>
      </c>
      <c r="I77" s="367" t="s">
        <v>23</v>
      </c>
    </row>
    <row r="78" spans="1:9" ht="12.3">
      <c r="A78" s="361">
        <v>41362</v>
      </c>
      <c r="B78" s="369" t="s">
        <v>1481</v>
      </c>
      <c r="C78" s="363">
        <v>5.6</v>
      </c>
      <c r="D78" s="362">
        <v>13</v>
      </c>
      <c r="E78" s="362"/>
      <c r="F78" s="364" t="s">
        <v>23</v>
      </c>
      <c r="G78" s="365" t="s">
        <v>23</v>
      </c>
      <c r="H78" s="366" t="s">
        <v>1511</v>
      </c>
      <c r="I78" s="367" t="s">
        <v>23</v>
      </c>
    </row>
    <row r="79" spans="1:9" ht="12.3">
      <c r="A79" s="399" t="s">
        <v>1971</v>
      </c>
      <c r="B79" s="362" t="s">
        <v>1972</v>
      </c>
      <c r="C79" s="363" t="s">
        <v>1973</v>
      </c>
      <c r="D79" s="362">
        <v>18</v>
      </c>
      <c r="E79" s="362"/>
      <c r="F79" s="364" t="s">
        <v>23</v>
      </c>
      <c r="G79" s="365" t="s">
        <v>23</v>
      </c>
      <c r="H79" s="366">
        <v>1</v>
      </c>
      <c r="I79" s="367" t="s">
        <v>23</v>
      </c>
    </row>
    <row r="80" spans="1:9" ht="12.3">
      <c r="A80" s="361">
        <v>41365</v>
      </c>
      <c r="B80" s="362" t="s">
        <v>1974</v>
      </c>
      <c r="C80" s="363">
        <v>3.9</v>
      </c>
      <c r="D80" s="362">
        <v>8</v>
      </c>
      <c r="E80" s="362"/>
      <c r="F80" s="364" t="s">
        <v>23</v>
      </c>
      <c r="G80" s="365" t="s">
        <v>23</v>
      </c>
      <c r="H80" s="366">
        <v>2</v>
      </c>
      <c r="I80" s="367" t="s">
        <v>23</v>
      </c>
    </row>
    <row r="81" spans="1:9" ht="12.3">
      <c r="A81" s="361">
        <v>41368</v>
      </c>
      <c r="B81" s="369" t="s">
        <v>608</v>
      </c>
      <c r="C81" s="363">
        <v>5.4</v>
      </c>
      <c r="D81" s="362">
        <v>240</v>
      </c>
      <c r="E81" s="362"/>
      <c r="F81" s="364" t="s">
        <v>23</v>
      </c>
      <c r="G81" s="365">
        <v>3</v>
      </c>
      <c r="H81" s="366">
        <v>1</v>
      </c>
      <c r="I81" s="367" t="s">
        <v>23</v>
      </c>
    </row>
    <row r="82" spans="1:9" ht="12.3">
      <c r="A82" s="361">
        <v>41369</v>
      </c>
      <c r="B82" s="362" t="s">
        <v>1975</v>
      </c>
      <c r="C82" s="363">
        <v>5.4</v>
      </c>
      <c r="D82" s="362">
        <v>24</v>
      </c>
      <c r="E82" s="362"/>
      <c r="F82" s="364" t="s">
        <v>23</v>
      </c>
      <c r="G82" s="365" t="s">
        <v>23</v>
      </c>
      <c r="H82" s="366">
        <v>2</v>
      </c>
      <c r="I82" s="367" t="s">
        <v>23</v>
      </c>
    </row>
    <row r="83" spans="1:9" ht="12.3">
      <c r="A83" s="371">
        <v>41370</v>
      </c>
      <c r="B83" s="372" t="s">
        <v>1976</v>
      </c>
      <c r="C83" s="373">
        <v>7.2</v>
      </c>
      <c r="D83" s="372">
        <v>173</v>
      </c>
      <c r="E83" s="372" t="s">
        <v>35</v>
      </c>
      <c r="F83" s="374">
        <v>3</v>
      </c>
      <c r="G83" s="375">
        <v>3</v>
      </c>
      <c r="H83" s="376" t="s">
        <v>1508</v>
      </c>
      <c r="I83" s="377" t="s">
        <v>23</v>
      </c>
    </row>
    <row r="84" spans="1:9" ht="12.3">
      <c r="A84" s="361">
        <v>41371</v>
      </c>
      <c r="B84" s="362" t="s">
        <v>1977</v>
      </c>
      <c r="C84" s="363">
        <v>4.4000000000000004</v>
      </c>
      <c r="D84" s="362"/>
      <c r="E84" s="362"/>
      <c r="F84" s="364" t="s">
        <v>23</v>
      </c>
      <c r="G84" s="365" t="s">
        <v>23</v>
      </c>
      <c r="H84" s="366">
        <v>1</v>
      </c>
      <c r="I84" s="367" t="s">
        <v>23</v>
      </c>
    </row>
    <row r="85" spans="1:9" ht="12.3">
      <c r="A85" s="361">
        <v>41372</v>
      </c>
      <c r="B85" s="362" t="s">
        <v>1978</v>
      </c>
      <c r="C85" s="363">
        <v>4</v>
      </c>
      <c r="D85" s="362"/>
      <c r="E85" s="362"/>
      <c r="F85" s="364" t="s">
        <v>23</v>
      </c>
      <c r="G85" s="365" t="s">
        <v>23</v>
      </c>
      <c r="H85" s="366" t="s">
        <v>1478</v>
      </c>
      <c r="I85" s="367" t="s">
        <v>23</v>
      </c>
    </row>
    <row r="86" spans="1:9" ht="12.3">
      <c r="A86" s="361">
        <v>41373</v>
      </c>
      <c r="B86" s="362" t="s">
        <v>1893</v>
      </c>
      <c r="C86" s="363"/>
      <c r="D86" s="362"/>
      <c r="E86" s="362"/>
      <c r="F86" s="364" t="s">
        <v>23</v>
      </c>
      <c r="G86" s="365" t="s">
        <v>23</v>
      </c>
      <c r="H86" s="366">
        <v>2</v>
      </c>
      <c r="I86" s="367" t="s">
        <v>23</v>
      </c>
    </row>
    <row r="87" spans="1:9" ht="12.3">
      <c r="A87" s="371">
        <v>41373</v>
      </c>
      <c r="B87" s="372" t="s">
        <v>1824</v>
      </c>
      <c r="C87" s="373">
        <v>6.4</v>
      </c>
      <c r="D87" s="372">
        <v>12</v>
      </c>
      <c r="E87" s="372" t="s">
        <v>363</v>
      </c>
      <c r="F87" s="374">
        <v>41</v>
      </c>
      <c r="G87" s="375">
        <v>1100</v>
      </c>
      <c r="H87" s="376" t="s">
        <v>1653</v>
      </c>
      <c r="I87" s="377" t="s">
        <v>23</v>
      </c>
    </row>
    <row r="88" spans="1:9" ht="12.3">
      <c r="A88" s="361">
        <v>41374</v>
      </c>
      <c r="B88" s="369" t="s">
        <v>165</v>
      </c>
      <c r="C88" s="363">
        <v>5.5</v>
      </c>
      <c r="D88" s="362">
        <v>10</v>
      </c>
      <c r="E88" s="362" t="s">
        <v>365</v>
      </c>
      <c r="F88" s="364" t="s">
        <v>23</v>
      </c>
      <c r="G88" s="365" t="s">
        <v>23</v>
      </c>
      <c r="H88" s="366" t="s">
        <v>1511</v>
      </c>
      <c r="I88" s="367" t="s">
        <v>23</v>
      </c>
    </row>
    <row r="89" spans="1:9" ht="12.3">
      <c r="A89" s="361">
        <v>41376</v>
      </c>
      <c r="B89" s="369" t="s">
        <v>1949</v>
      </c>
      <c r="C89" s="363">
        <v>5.8</v>
      </c>
      <c r="D89" s="362">
        <v>14</v>
      </c>
      <c r="E89" s="362" t="s">
        <v>1299</v>
      </c>
      <c r="F89" s="364" t="s">
        <v>23</v>
      </c>
      <c r="G89" s="365">
        <v>35</v>
      </c>
      <c r="H89" s="366">
        <v>3</v>
      </c>
      <c r="I89" s="367" t="s">
        <v>23</v>
      </c>
    </row>
    <row r="90" spans="1:9" ht="12.3">
      <c r="A90" s="361">
        <v>41379</v>
      </c>
      <c r="B90" s="362" t="s">
        <v>1979</v>
      </c>
      <c r="C90" s="363">
        <v>3.6</v>
      </c>
      <c r="D90" s="362"/>
      <c r="E90" s="362"/>
      <c r="F90" s="364" t="s">
        <v>23</v>
      </c>
      <c r="G90" s="365" t="s">
        <v>23</v>
      </c>
      <c r="H90" s="366">
        <v>2</v>
      </c>
      <c r="I90" s="367" t="s">
        <v>23</v>
      </c>
    </row>
    <row r="91" spans="1:9" ht="12.3">
      <c r="A91" s="361">
        <v>41380</v>
      </c>
      <c r="B91" s="400" t="s">
        <v>1583</v>
      </c>
      <c r="C91" s="363">
        <v>5.3</v>
      </c>
      <c r="D91" s="362">
        <v>6</v>
      </c>
      <c r="E91" s="362"/>
      <c r="F91" s="364" t="s">
        <v>23</v>
      </c>
      <c r="G91" s="365" t="s">
        <v>23</v>
      </c>
      <c r="H91" s="366">
        <v>2</v>
      </c>
      <c r="I91" s="367" t="s">
        <v>23</v>
      </c>
    </row>
    <row r="92" spans="1:9" ht="12.3">
      <c r="A92" s="371">
        <v>41380</v>
      </c>
      <c r="B92" s="372" t="s">
        <v>1831</v>
      </c>
      <c r="C92" s="373">
        <v>4.4000000000000004</v>
      </c>
      <c r="D92" s="372">
        <v>8</v>
      </c>
      <c r="E92" s="372"/>
      <c r="F92" s="374">
        <v>1</v>
      </c>
      <c r="G92" s="375">
        <v>3</v>
      </c>
      <c r="H92" s="376">
        <v>1</v>
      </c>
      <c r="I92" s="377" t="s">
        <v>23</v>
      </c>
    </row>
    <row r="93" spans="1:9" ht="12.3">
      <c r="A93" s="371">
        <v>41380</v>
      </c>
      <c r="B93" s="372" t="s">
        <v>1980</v>
      </c>
      <c r="C93" s="373">
        <v>7.8</v>
      </c>
      <c r="D93" s="372">
        <v>95</v>
      </c>
      <c r="E93" s="372" t="s">
        <v>123</v>
      </c>
      <c r="F93" s="374">
        <v>42</v>
      </c>
      <c r="G93" s="375">
        <v>327</v>
      </c>
      <c r="H93" s="376">
        <v>5</v>
      </c>
      <c r="I93" s="401"/>
    </row>
    <row r="94" spans="1:9" ht="12.3">
      <c r="A94" s="361">
        <v>41380</v>
      </c>
      <c r="B94" s="369" t="s">
        <v>1981</v>
      </c>
      <c r="C94" s="363">
        <v>4.9000000000000004</v>
      </c>
      <c r="D94" s="362"/>
      <c r="E94" s="362"/>
      <c r="F94" s="364" t="s">
        <v>23</v>
      </c>
      <c r="G94" s="365" t="s">
        <v>23</v>
      </c>
      <c r="H94" s="366" t="s">
        <v>1511</v>
      </c>
      <c r="I94" s="367" t="s">
        <v>23</v>
      </c>
    </row>
    <row r="95" spans="1:9" ht="12.3">
      <c r="A95" s="361">
        <v>41381</v>
      </c>
      <c r="B95" s="369" t="s">
        <v>1526</v>
      </c>
      <c r="C95" s="363">
        <v>5.0999999999999996</v>
      </c>
      <c r="D95" s="362">
        <v>10</v>
      </c>
      <c r="E95" s="362"/>
      <c r="F95" s="364" t="s">
        <v>23</v>
      </c>
      <c r="G95" s="365">
        <v>10</v>
      </c>
      <c r="H95" s="366">
        <v>4</v>
      </c>
      <c r="I95" s="367" t="s">
        <v>23</v>
      </c>
    </row>
    <row r="96" spans="1:9" ht="12.3">
      <c r="A96" s="361">
        <v>41381</v>
      </c>
      <c r="B96" s="369" t="s">
        <v>1982</v>
      </c>
      <c r="C96" s="363">
        <v>6.2</v>
      </c>
      <c r="D96" s="362">
        <v>14</v>
      </c>
      <c r="E96" s="362" t="s">
        <v>35</v>
      </c>
      <c r="F96" s="364" t="s">
        <v>23</v>
      </c>
      <c r="G96" s="365">
        <v>3</v>
      </c>
      <c r="H96" s="366">
        <v>2</v>
      </c>
      <c r="I96" s="367" t="s">
        <v>23</v>
      </c>
    </row>
    <row r="97" spans="1:9" ht="12.3">
      <c r="A97" s="361">
        <v>41381</v>
      </c>
      <c r="B97" s="369" t="s">
        <v>1983</v>
      </c>
      <c r="C97" s="363">
        <v>5.8</v>
      </c>
      <c r="D97" s="362">
        <v>45</v>
      </c>
      <c r="E97" s="362" t="s">
        <v>1364</v>
      </c>
      <c r="F97" s="364" t="s">
        <v>23</v>
      </c>
      <c r="G97" s="365">
        <v>2</v>
      </c>
      <c r="H97" s="366">
        <v>1</v>
      </c>
      <c r="I97" s="367" t="s">
        <v>23</v>
      </c>
    </row>
    <row r="98" spans="1:9" ht="12.3">
      <c r="A98" s="361">
        <v>41382</v>
      </c>
      <c r="B98" s="362" t="s">
        <v>1563</v>
      </c>
      <c r="C98" s="363">
        <v>3.7</v>
      </c>
      <c r="D98" s="362"/>
      <c r="E98" s="362" t="s">
        <v>134</v>
      </c>
      <c r="F98" s="364" t="s">
        <v>23</v>
      </c>
      <c r="G98" s="365" t="s">
        <v>23</v>
      </c>
      <c r="H98" s="366">
        <v>2</v>
      </c>
      <c r="I98" s="367" t="s">
        <v>23</v>
      </c>
    </row>
    <row r="99" spans="1:9" ht="12.3">
      <c r="A99" s="361">
        <v>41382</v>
      </c>
      <c r="B99" s="369" t="s">
        <v>1552</v>
      </c>
      <c r="C99" s="363">
        <v>5.2</v>
      </c>
      <c r="D99" s="362">
        <v>8</v>
      </c>
      <c r="E99" s="362"/>
      <c r="F99" s="364" t="s">
        <v>23</v>
      </c>
      <c r="G99" s="365">
        <v>4</v>
      </c>
      <c r="H99" s="397">
        <v>2</v>
      </c>
      <c r="I99" s="367" t="s">
        <v>23</v>
      </c>
    </row>
    <row r="100" spans="1:9" ht="12.3">
      <c r="A100" s="361">
        <v>41383</v>
      </c>
      <c r="B100" s="362" t="s">
        <v>1984</v>
      </c>
      <c r="C100" s="363">
        <v>7.2</v>
      </c>
      <c r="D100" s="362">
        <v>122</v>
      </c>
      <c r="E100" s="362" t="s">
        <v>35</v>
      </c>
      <c r="F100" s="364" t="s">
        <v>23</v>
      </c>
      <c r="G100" s="365" t="s">
        <v>23</v>
      </c>
      <c r="H100" s="366" t="s">
        <v>23</v>
      </c>
      <c r="I100" s="367" t="s">
        <v>705</v>
      </c>
    </row>
    <row r="101" spans="1:9" ht="12.3">
      <c r="A101" s="361">
        <v>41383</v>
      </c>
      <c r="B101" s="369" t="s">
        <v>1893</v>
      </c>
      <c r="C101" s="363">
        <v>4.8</v>
      </c>
      <c r="D101" s="362">
        <v>10</v>
      </c>
      <c r="E101" s="362" t="s">
        <v>35</v>
      </c>
      <c r="F101" s="364" t="s">
        <v>23</v>
      </c>
      <c r="G101" s="365">
        <v>2</v>
      </c>
      <c r="H101" s="366">
        <v>3</v>
      </c>
      <c r="I101" s="367" t="s">
        <v>23</v>
      </c>
    </row>
    <row r="102" spans="1:9" ht="12.3">
      <c r="A102" s="361">
        <v>41384</v>
      </c>
      <c r="B102" s="369" t="s">
        <v>1687</v>
      </c>
      <c r="C102" s="363">
        <v>5</v>
      </c>
      <c r="D102" s="362">
        <v>10</v>
      </c>
      <c r="E102" s="362"/>
      <c r="F102" s="364" t="s">
        <v>23</v>
      </c>
      <c r="G102" s="365"/>
      <c r="H102" s="366">
        <v>2</v>
      </c>
      <c r="I102" s="367" t="s">
        <v>23</v>
      </c>
    </row>
    <row r="103" spans="1:9" ht="12.3">
      <c r="A103" s="371">
        <v>41384</v>
      </c>
      <c r="B103" s="372" t="s">
        <v>1477</v>
      </c>
      <c r="C103" s="373">
        <v>7</v>
      </c>
      <c r="D103" s="372">
        <v>13</v>
      </c>
      <c r="E103" s="372" t="s">
        <v>363</v>
      </c>
      <c r="F103" s="374">
        <v>218</v>
      </c>
      <c r="G103" s="375">
        <v>15554</v>
      </c>
      <c r="H103" s="376" t="s">
        <v>1163</v>
      </c>
      <c r="I103" s="377" t="s">
        <v>23</v>
      </c>
    </row>
    <row r="104" spans="1:9" ht="12.3">
      <c r="A104" s="361">
        <v>41385</v>
      </c>
      <c r="B104" s="362" t="s">
        <v>346</v>
      </c>
      <c r="C104" s="363">
        <v>4.0999999999999996</v>
      </c>
      <c r="D104" s="362">
        <v>5</v>
      </c>
      <c r="E104" s="362"/>
      <c r="F104" s="364" t="s">
        <v>23</v>
      </c>
      <c r="G104" s="365" t="s">
        <v>23</v>
      </c>
      <c r="H104" s="366">
        <v>2</v>
      </c>
      <c r="I104" s="367" t="s">
        <v>23</v>
      </c>
    </row>
    <row r="105" spans="1:9" ht="12.3">
      <c r="A105" s="361">
        <v>41386</v>
      </c>
      <c r="B105" s="362" t="s">
        <v>419</v>
      </c>
      <c r="C105" s="362">
        <v>3.9</v>
      </c>
      <c r="D105" s="362">
        <v>10</v>
      </c>
      <c r="E105" s="362"/>
      <c r="F105" s="364" t="s">
        <v>23</v>
      </c>
      <c r="G105" s="365" t="s">
        <v>23</v>
      </c>
      <c r="H105" s="366">
        <v>2</v>
      </c>
      <c r="I105" s="367" t="s">
        <v>23</v>
      </c>
    </row>
    <row r="106" spans="1:9" ht="12.3">
      <c r="A106" s="361">
        <v>41386</v>
      </c>
      <c r="B106" s="369" t="s">
        <v>1985</v>
      </c>
      <c r="C106" s="363">
        <v>6</v>
      </c>
      <c r="D106" s="362">
        <v>28</v>
      </c>
      <c r="E106" s="362" t="s">
        <v>35</v>
      </c>
      <c r="F106" s="364" t="s">
        <v>23</v>
      </c>
      <c r="G106" s="365" t="s">
        <v>23</v>
      </c>
      <c r="H106" s="366">
        <v>2</v>
      </c>
      <c r="I106" s="367" t="s">
        <v>23</v>
      </c>
    </row>
    <row r="107" spans="1:9" ht="12.3">
      <c r="A107" s="371">
        <v>41386</v>
      </c>
      <c r="B107" s="372" t="s">
        <v>1974</v>
      </c>
      <c r="C107" s="373">
        <v>5.3</v>
      </c>
      <c r="D107" s="372">
        <v>6</v>
      </c>
      <c r="E107" s="372"/>
      <c r="F107" s="374">
        <v>2</v>
      </c>
      <c r="G107" s="375">
        <v>13</v>
      </c>
      <c r="H107" s="376">
        <v>3</v>
      </c>
      <c r="I107" s="377" t="s">
        <v>23</v>
      </c>
    </row>
    <row r="108" spans="1:9" ht="12.3">
      <c r="A108" s="361">
        <v>41386</v>
      </c>
      <c r="B108" s="369" t="s">
        <v>1450</v>
      </c>
      <c r="C108" s="363"/>
      <c r="D108" s="362"/>
      <c r="E108" s="362"/>
      <c r="F108" s="364" t="s">
        <v>23</v>
      </c>
      <c r="G108" s="365" t="s">
        <v>23</v>
      </c>
      <c r="H108" s="366">
        <v>3</v>
      </c>
      <c r="I108" s="367" t="s">
        <v>23</v>
      </c>
    </row>
    <row r="109" spans="1:9" ht="12.3">
      <c r="A109" s="361">
        <v>41386</v>
      </c>
      <c r="B109" s="369" t="s">
        <v>484</v>
      </c>
      <c r="C109" s="363">
        <v>4.8</v>
      </c>
      <c r="D109" s="362">
        <v>8</v>
      </c>
      <c r="E109" s="362"/>
      <c r="F109" s="364" t="s">
        <v>23</v>
      </c>
      <c r="G109" s="365" t="s">
        <v>23</v>
      </c>
      <c r="H109" s="366" t="s">
        <v>1511</v>
      </c>
      <c r="I109" s="367" t="s">
        <v>23</v>
      </c>
    </row>
    <row r="110" spans="1:9" ht="12.3">
      <c r="A110" s="361">
        <v>41388</v>
      </c>
      <c r="B110" s="369" t="s">
        <v>165</v>
      </c>
      <c r="C110" s="363">
        <v>4.8</v>
      </c>
      <c r="D110" s="362">
        <v>17</v>
      </c>
      <c r="E110" s="362"/>
      <c r="F110" s="364" t="s">
        <v>23</v>
      </c>
      <c r="G110" s="365">
        <v>6</v>
      </c>
      <c r="H110" s="366">
        <v>3</v>
      </c>
      <c r="I110" s="367" t="s">
        <v>23</v>
      </c>
    </row>
    <row r="111" spans="1:9" ht="12.3">
      <c r="A111" s="361">
        <v>41388</v>
      </c>
      <c r="B111" s="369" t="s">
        <v>1986</v>
      </c>
      <c r="C111" s="363">
        <v>4.9000000000000004</v>
      </c>
      <c r="D111" s="362">
        <v>21</v>
      </c>
      <c r="E111" s="362"/>
      <c r="F111" s="364" t="s">
        <v>23</v>
      </c>
      <c r="G111" s="365">
        <v>6</v>
      </c>
      <c r="H111" s="366">
        <v>3</v>
      </c>
      <c r="I111" s="367" t="s">
        <v>23</v>
      </c>
    </row>
    <row r="112" spans="1:9" ht="12.3">
      <c r="A112" s="371">
        <v>41388</v>
      </c>
      <c r="B112" s="372" t="s">
        <v>1987</v>
      </c>
      <c r="C112" s="373">
        <v>6.2</v>
      </c>
      <c r="D112" s="372">
        <v>72</v>
      </c>
      <c r="E112" s="372"/>
      <c r="F112" s="374">
        <v>27</v>
      </c>
      <c r="G112" s="375">
        <v>150</v>
      </c>
      <c r="H112" s="376">
        <v>4</v>
      </c>
      <c r="I112" s="377" t="s">
        <v>23</v>
      </c>
    </row>
    <row r="113" spans="1:9" ht="13.5" customHeight="1">
      <c r="A113" s="371">
        <v>41388</v>
      </c>
      <c r="B113" s="372" t="s">
        <v>1477</v>
      </c>
      <c r="C113" s="373">
        <v>4.8</v>
      </c>
      <c r="D113" s="372">
        <v>4</v>
      </c>
      <c r="E113" s="372"/>
      <c r="F113" s="374">
        <v>1</v>
      </c>
      <c r="G113" s="375">
        <v>72</v>
      </c>
      <c r="H113" s="376" t="s">
        <v>1508</v>
      </c>
      <c r="I113" s="377" t="s">
        <v>23</v>
      </c>
    </row>
    <row r="114" spans="1:9" ht="12.3">
      <c r="A114" s="361">
        <v>41394</v>
      </c>
      <c r="B114" s="362" t="s">
        <v>1988</v>
      </c>
      <c r="C114" s="363">
        <v>5.3</v>
      </c>
      <c r="D114" s="362">
        <v>17</v>
      </c>
      <c r="E114" s="362" t="s">
        <v>35</v>
      </c>
      <c r="F114" s="364" t="s">
        <v>23</v>
      </c>
      <c r="G114" s="365" t="s">
        <v>23</v>
      </c>
      <c r="H114" s="366">
        <v>2</v>
      </c>
      <c r="I114" s="367" t="s">
        <v>23</v>
      </c>
    </row>
    <row r="115" spans="1:9" ht="12.3">
      <c r="A115" s="361">
        <v>41394</v>
      </c>
      <c r="B115" s="362" t="s">
        <v>1989</v>
      </c>
      <c r="C115" s="363">
        <v>5.8</v>
      </c>
      <c r="D115" s="362">
        <v>2</v>
      </c>
      <c r="E115" s="362" t="s">
        <v>35</v>
      </c>
      <c r="F115" s="364" t="s">
        <v>23</v>
      </c>
      <c r="G115" s="365" t="s">
        <v>23</v>
      </c>
      <c r="H115" s="366" t="s">
        <v>23</v>
      </c>
      <c r="I115" s="367" t="s">
        <v>1097</v>
      </c>
    </row>
    <row r="116" spans="1:9" ht="12.3">
      <c r="A116" s="361">
        <v>41394</v>
      </c>
      <c r="B116" s="362" t="s">
        <v>1990</v>
      </c>
      <c r="C116" s="363">
        <v>4.3</v>
      </c>
      <c r="D116" s="362"/>
      <c r="E116" s="362"/>
      <c r="F116" s="364" t="s">
        <v>23</v>
      </c>
      <c r="G116" s="365" t="s">
        <v>23</v>
      </c>
      <c r="H116" s="366">
        <v>2</v>
      </c>
      <c r="I116" s="367" t="s">
        <v>23</v>
      </c>
    </row>
    <row r="117" spans="1:9" ht="12.3">
      <c r="A117" s="361">
        <v>41394</v>
      </c>
      <c r="B117" s="362" t="s">
        <v>105</v>
      </c>
      <c r="C117" s="363">
        <v>3.6</v>
      </c>
      <c r="D117" s="362">
        <v>2</v>
      </c>
      <c r="E117" s="362"/>
      <c r="F117" s="364" t="s">
        <v>23</v>
      </c>
      <c r="G117" s="365" t="s">
        <v>23</v>
      </c>
      <c r="H117" s="366" t="s">
        <v>1478</v>
      </c>
      <c r="I117" s="367" t="s">
        <v>23</v>
      </c>
    </row>
    <row r="118" spans="1:9" ht="12.3">
      <c r="A118" s="371">
        <v>41395</v>
      </c>
      <c r="B118" s="372" t="s">
        <v>1990</v>
      </c>
      <c r="C118" s="373">
        <v>5.8</v>
      </c>
      <c r="D118" s="372">
        <v>15</v>
      </c>
      <c r="E118" s="372" t="s">
        <v>123</v>
      </c>
      <c r="F118" s="374">
        <v>3</v>
      </c>
      <c r="G118" s="375">
        <v>90</v>
      </c>
      <c r="H118" s="376">
        <v>5</v>
      </c>
      <c r="I118" s="377" t="s">
        <v>23</v>
      </c>
    </row>
    <row r="119" spans="1:9" ht="12.3">
      <c r="A119" s="361">
        <v>41395</v>
      </c>
      <c r="B119" s="369" t="s">
        <v>1824</v>
      </c>
      <c r="C119" s="363">
        <v>5.2</v>
      </c>
      <c r="D119" s="362">
        <v>8</v>
      </c>
      <c r="E119" s="362"/>
      <c r="F119" s="364" t="s">
        <v>23</v>
      </c>
      <c r="G119" s="365" t="s">
        <v>23</v>
      </c>
      <c r="H119" s="366">
        <v>3</v>
      </c>
      <c r="I119" s="367" t="s">
        <v>23</v>
      </c>
    </row>
    <row r="120" spans="1:9" ht="12.3">
      <c r="A120" s="361">
        <v>41396</v>
      </c>
      <c r="B120" s="362" t="s">
        <v>1991</v>
      </c>
      <c r="C120" s="362">
        <v>3.1</v>
      </c>
      <c r="D120" s="362"/>
      <c r="E120" s="362"/>
      <c r="F120" s="364" t="s">
        <v>23</v>
      </c>
      <c r="G120" s="365" t="s">
        <v>23</v>
      </c>
      <c r="H120" s="366">
        <v>1</v>
      </c>
      <c r="I120" s="367" t="s">
        <v>23</v>
      </c>
    </row>
    <row r="121" spans="1:9" ht="12.3">
      <c r="A121" s="361">
        <v>41396</v>
      </c>
      <c r="B121" s="362" t="s">
        <v>1155</v>
      </c>
      <c r="C121" s="363">
        <v>3.8</v>
      </c>
      <c r="D121" s="362">
        <v>4</v>
      </c>
      <c r="E121" s="362" t="s">
        <v>684</v>
      </c>
      <c r="F121" s="364" t="s">
        <v>23</v>
      </c>
      <c r="G121" s="365" t="s">
        <v>23</v>
      </c>
      <c r="H121" s="366">
        <v>2</v>
      </c>
      <c r="I121" s="367" t="s">
        <v>23</v>
      </c>
    </row>
    <row r="122" spans="1:9" ht="12.3">
      <c r="A122" s="361">
        <v>41396</v>
      </c>
      <c r="B122" s="369" t="s">
        <v>1992</v>
      </c>
      <c r="C122" s="363">
        <v>4.3</v>
      </c>
      <c r="D122" s="362"/>
      <c r="E122" s="362" t="s">
        <v>134</v>
      </c>
      <c r="F122" s="364" t="s">
        <v>23</v>
      </c>
      <c r="G122" s="365">
        <v>17</v>
      </c>
      <c r="H122" s="366" t="s">
        <v>1511</v>
      </c>
      <c r="I122" s="367" t="s">
        <v>23</v>
      </c>
    </row>
    <row r="123" spans="1:9" ht="12.3">
      <c r="A123" s="361">
        <v>41397</v>
      </c>
      <c r="B123" s="362" t="s">
        <v>1993</v>
      </c>
      <c r="C123" s="363">
        <v>3.7</v>
      </c>
      <c r="D123" s="362">
        <v>5</v>
      </c>
      <c r="E123" s="362"/>
      <c r="F123" s="364" t="s">
        <v>23</v>
      </c>
      <c r="G123" s="365" t="s">
        <v>23</v>
      </c>
      <c r="H123" s="366" t="s">
        <v>1478</v>
      </c>
      <c r="I123" s="367" t="s">
        <v>23</v>
      </c>
    </row>
    <row r="124" spans="1:9" ht="12.3">
      <c r="A124" s="361">
        <v>41398</v>
      </c>
      <c r="B124" s="369" t="s">
        <v>105</v>
      </c>
      <c r="C124" s="363">
        <v>3.2</v>
      </c>
      <c r="D124" s="362">
        <v>7</v>
      </c>
      <c r="E124" s="362"/>
      <c r="F124" s="364" t="s">
        <v>23</v>
      </c>
      <c r="G124" s="365">
        <v>1</v>
      </c>
      <c r="H124" s="402" t="s">
        <v>23</v>
      </c>
      <c r="I124" s="367" t="s">
        <v>23</v>
      </c>
    </row>
    <row r="125" spans="1:9" ht="12.3">
      <c r="A125" s="361">
        <v>41398</v>
      </c>
      <c r="B125" s="369" t="s">
        <v>105</v>
      </c>
      <c r="C125" s="363">
        <v>3.6</v>
      </c>
      <c r="D125" s="362">
        <v>5</v>
      </c>
      <c r="E125" s="362"/>
      <c r="F125" s="364" t="s">
        <v>23</v>
      </c>
      <c r="G125" s="365">
        <v>1</v>
      </c>
      <c r="H125" s="402" t="s">
        <v>23</v>
      </c>
      <c r="I125" s="367" t="s">
        <v>23</v>
      </c>
    </row>
    <row r="126" spans="1:9" ht="12.3">
      <c r="A126" s="361">
        <v>41402</v>
      </c>
      <c r="B126" s="362" t="s">
        <v>1605</v>
      </c>
      <c r="C126" s="363">
        <v>3.8</v>
      </c>
      <c r="D126" s="362">
        <v>8</v>
      </c>
      <c r="E126" s="362"/>
      <c r="F126" s="364" t="s">
        <v>23</v>
      </c>
      <c r="G126" s="365" t="s">
        <v>23</v>
      </c>
      <c r="H126" s="366" t="s">
        <v>1478</v>
      </c>
      <c r="I126" s="367" t="s">
        <v>23</v>
      </c>
    </row>
    <row r="127" spans="1:9" ht="12.3">
      <c r="A127" s="361">
        <v>41403</v>
      </c>
      <c r="B127" s="369" t="s">
        <v>1662</v>
      </c>
      <c r="C127" s="363">
        <v>5</v>
      </c>
      <c r="D127" s="362">
        <v>10</v>
      </c>
      <c r="E127" s="362"/>
      <c r="F127" s="364" t="s">
        <v>23</v>
      </c>
      <c r="G127" s="365" t="s">
        <v>23</v>
      </c>
      <c r="H127" s="366" t="s">
        <v>1511</v>
      </c>
      <c r="I127" s="367" t="s">
        <v>23</v>
      </c>
    </row>
    <row r="128" spans="1:9" ht="12.3">
      <c r="A128" s="361">
        <v>41404</v>
      </c>
      <c r="B128" s="362" t="s">
        <v>1946</v>
      </c>
      <c r="C128" s="363">
        <v>4.2</v>
      </c>
      <c r="D128" s="362">
        <v>5</v>
      </c>
      <c r="E128" s="362"/>
      <c r="F128" s="364" t="s">
        <v>23</v>
      </c>
      <c r="G128" s="365" t="s">
        <v>23</v>
      </c>
      <c r="H128" s="366">
        <v>2</v>
      </c>
      <c r="I128" s="367" t="s">
        <v>23</v>
      </c>
    </row>
    <row r="129" spans="1:9" ht="12.3">
      <c r="A129" s="371">
        <v>41405</v>
      </c>
      <c r="B129" s="372" t="s">
        <v>1662</v>
      </c>
      <c r="C129" s="373">
        <v>6.2</v>
      </c>
      <c r="D129" s="372">
        <v>15</v>
      </c>
      <c r="E129" s="372" t="s">
        <v>363</v>
      </c>
      <c r="F129" s="374">
        <v>1</v>
      </c>
      <c r="G129" s="375">
        <v>24</v>
      </c>
      <c r="H129" s="376">
        <v>4</v>
      </c>
      <c r="I129" s="377" t="s">
        <v>23</v>
      </c>
    </row>
    <row r="130" spans="1:9" ht="12.3">
      <c r="A130" s="361">
        <v>41405</v>
      </c>
      <c r="B130" s="362" t="s">
        <v>1994</v>
      </c>
      <c r="C130" s="363">
        <v>4.7</v>
      </c>
      <c r="D130" s="362">
        <v>15</v>
      </c>
      <c r="E130" s="362"/>
      <c r="F130" s="364" t="s">
        <v>23</v>
      </c>
      <c r="G130" s="365" t="s">
        <v>23</v>
      </c>
      <c r="H130" s="366">
        <v>2</v>
      </c>
      <c r="I130" s="367" t="s">
        <v>23</v>
      </c>
    </row>
    <row r="131" spans="1:9" ht="12.3">
      <c r="A131" s="361">
        <v>41406</v>
      </c>
      <c r="B131" s="369" t="s">
        <v>1515</v>
      </c>
      <c r="C131" s="363">
        <v>4.4000000000000004</v>
      </c>
      <c r="D131" s="362">
        <v>10</v>
      </c>
      <c r="E131" s="362"/>
      <c r="F131" s="364" t="s">
        <v>23</v>
      </c>
      <c r="G131" s="365">
        <v>12</v>
      </c>
      <c r="H131" s="366" t="s">
        <v>23</v>
      </c>
      <c r="I131" s="367" t="s">
        <v>23</v>
      </c>
    </row>
    <row r="132" spans="1:9" ht="12.3">
      <c r="A132" s="371">
        <v>41408</v>
      </c>
      <c r="B132" s="372" t="s">
        <v>1993</v>
      </c>
      <c r="C132" s="373">
        <v>4.8</v>
      </c>
      <c r="D132" s="372">
        <v>11</v>
      </c>
      <c r="E132" s="372"/>
      <c r="F132" s="374">
        <v>1</v>
      </c>
      <c r="G132" s="375" t="s">
        <v>23</v>
      </c>
      <c r="H132" s="376">
        <v>2</v>
      </c>
      <c r="I132" s="377" t="s">
        <v>23</v>
      </c>
    </row>
    <row r="133" spans="1:9" ht="12.3">
      <c r="A133" s="361">
        <v>41409</v>
      </c>
      <c r="B133" s="362" t="s">
        <v>1995</v>
      </c>
      <c r="C133" s="363">
        <v>2.8</v>
      </c>
      <c r="D133" s="362">
        <v>7</v>
      </c>
      <c r="E133" s="362" t="s">
        <v>790</v>
      </c>
      <c r="F133" s="364" t="s">
        <v>23</v>
      </c>
      <c r="G133" s="365" t="s">
        <v>23</v>
      </c>
      <c r="H133" s="366">
        <v>1</v>
      </c>
      <c r="I133" s="367" t="s">
        <v>23</v>
      </c>
    </row>
    <row r="134" spans="1:9" ht="12.3">
      <c r="A134" s="361">
        <v>41412</v>
      </c>
      <c r="B134" s="369" t="s">
        <v>1662</v>
      </c>
      <c r="C134" s="363">
        <v>5.7</v>
      </c>
      <c r="D134" s="362">
        <v>8</v>
      </c>
      <c r="E134" s="362" t="s">
        <v>123</v>
      </c>
      <c r="F134" s="364" t="s">
        <v>23</v>
      </c>
      <c r="G134" s="365" t="s">
        <v>23</v>
      </c>
      <c r="H134" s="366">
        <v>3</v>
      </c>
      <c r="I134" s="367" t="s">
        <v>23</v>
      </c>
    </row>
    <row r="135" spans="1:9" ht="12.3">
      <c r="A135" s="361">
        <v>41413</v>
      </c>
      <c r="B135" s="369" t="s">
        <v>1996</v>
      </c>
      <c r="C135" s="363">
        <v>5.0999999999999996</v>
      </c>
      <c r="D135" s="362"/>
      <c r="E135" s="362"/>
      <c r="F135" s="364" t="s">
        <v>23</v>
      </c>
      <c r="G135" s="365">
        <v>7</v>
      </c>
      <c r="H135" s="366" t="s">
        <v>1511</v>
      </c>
      <c r="I135" s="367" t="s">
        <v>23</v>
      </c>
    </row>
    <row r="136" spans="1:9" ht="12.3">
      <c r="A136" s="361">
        <v>41415</v>
      </c>
      <c r="B136" s="362" t="s">
        <v>1997</v>
      </c>
      <c r="C136" s="363">
        <v>5.7</v>
      </c>
      <c r="D136" s="362">
        <v>86</v>
      </c>
      <c r="E136" s="362" t="s">
        <v>684</v>
      </c>
      <c r="F136" s="364" t="s">
        <v>23</v>
      </c>
      <c r="G136" s="365" t="s">
        <v>23</v>
      </c>
      <c r="H136" s="366">
        <v>2</v>
      </c>
      <c r="I136" s="367" t="s">
        <v>23</v>
      </c>
    </row>
    <row r="137" spans="1:9" ht="12.3">
      <c r="A137" s="361">
        <v>41417</v>
      </c>
      <c r="B137" s="369" t="s">
        <v>1562</v>
      </c>
      <c r="C137" s="363">
        <v>4.5</v>
      </c>
      <c r="D137" s="362"/>
      <c r="E137" s="362"/>
      <c r="F137" s="364" t="s">
        <v>23</v>
      </c>
      <c r="G137" s="365" t="s">
        <v>23</v>
      </c>
      <c r="H137" s="366" t="s">
        <v>1511</v>
      </c>
      <c r="I137" s="367" t="s">
        <v>23</v>
      </c>
    </row>
    <row r="138" spans="1:9" ht="12.3">
      <c r="A138" s="361">
        <v>41418</v>
      </c>
      <c r="B138" s="369" t="s">
        <v>1647</v>
      </c>
      <c r="C138" s="363">
        <v>5.7</v>
      </c>
      <c r="D138" s="362">
        <v>11</v>
      </c>
      <c r="E138" s="362" t="s">
        <v>123</v>
      </c>
      <c r="F138" s="364" t="s">
        <v>23</v>
      </c>
      <c r="G138" s="365">
        <v>2</v>
      </c>
      <c r="H138" s="366">
        <v>2</v>
      </c>
      <c r="I138" s="367" t="s">
        <v>23</v>
      </c>
    </row>
    <row r="139" spans="1:9" ht="12.3">
      <c r="A139" s="361">
        <v>41418</v>
      </c>
      <c r="B139" s="369" t="s">
        <v>1998</v>
      </c>
      <c r="C139" s="363">
        <v>8.3000000000000007</v>
      </c>
      <c r="D139" s="362">
        <v>602</v>
      </c>
      <c r="E139" s="362" t="s">
        <v>134</v>
      </c>
      <c r="F139" s="364" t="s">
        <v>23</v>
      </c>
      <c r="G139" s="365" t="s">
        <v>23</v>
      </c>
      <c r="H139" s="366">
        <v>2</v>
      </c>
      <c r="I139" s="367" t="s">
        <v>23</v>
      </c>
    </row>
    <row r="140" spans="1:9" ht="12.3">
      <c r="A140" s="361">
        <v>41418</v>
      </c>
      <c r="B140" s="369" t="s">
        <v>1999</v>
      </c>
      <c r="C140" s="363">
        <v>5.5</v>
      </c>
      <c r="D140" s="362">
        <v>17</v>
      </c>
      <c r="E140" s="362" t="s">
        <v>123</v>
      </c>
      <c r="F140" s="364" t="s">
        <v>23</v>
      </c>
      <c r="G140" s="365" t="s">
        <v>2000</v>
      </c>
      <c r="H140" s="397">
        <v>3</v>
      </c>
      <c r="I140" s="367" t="s">
        <v>23</v>
      </c>
    </row>
    <row r="141" spans="1:9" ht="12.3">
      <c r="A141" s="361">
        <v>41420</v>
      </c>
      <c r="B141" s="369" t="s">
        <v>2001</v>
      </c>
      <c r="C141" s="363">
        <v>6</v>
      </c>
      <c r="D141" s="362">
        <v>19</v>
      </c>
      <c r="E141" s="362" t="s">
        <v>123</v>
      </c>
      <c r="F141" s="364" t="s">
        <v>23</v>
      </c>
      <c r="G141" s="365"/>
      <c r="H141" s="397" t="s">
        <v>1511</v>
      </c>
      <c r="I141" s="367" t="s">
        <v>23</v>
      </c>
    </row>
    <row r="142" spans="1:9" ht="12.3">
      <c r="A142" s="361">
        <v>41420</v>
      </c>
      <c r="B142" s="369" t="s">
        <v>1996</v>
      </c>
      <c r="C142" s="363">
        <v>5</v>
      </c>
      <c r="D142" s="362">
        <v>8</v>
      </c>
      <c r="E142" s="362"/>
      <c r="F142" s="364" t="s">
        <v>23</v>
      </c>
      <c r="G142" s="365">
        <v>20</v>
      </c>
      <c r="H142" s="366">
        <v>3</v>
      </c>
      <c r="I142" s="367" t="s">
        <v>23</v>
      </c>
    </row>
    <row r="143" spans="1:9" ht="12.3">
      <c r="A143" s="361">
        <v>41421</v>
      </c>
      <c r="B143" s="362" t="s">
        <v>591</v>
      </c>
      <c r="C143" s="363">
        <v>5.7</v>
      </c>
      <c r="D143" s="362">
        <v>14</v>
      </c>
      <c r="E143" s="362" t="s">
        <v>123</v>
      </c>
      <c r="F143" s="364" t="s">
        <v>23</v>
      </c>
      <c r="G143" s="365" t="s">
        <v>23</v>
      </c>
      <c r="H143" s="366">
        <v>2</v>
      </c>
      <c r="I143" s="367" t="s">
        <v>23</v>
      </c>
    </row>
    <row r="144" spans="1:9" ht="12.3">
      <c r="A144" s="361">
        <v>41421</v>
      </c>
      <c r="B144" s="369" t="s">
        <v>1993</v>
      </c>
      <c r="C144" s="363"/>
      <c r="D144" s="362"/>
      <c r="E144" s="362"/>
      <c r="F144" s="364" t="s">
        <v>23</v>
      </c>
      <c r="G144" s="365" t="s">
        <v>23</v>
      </c>
      <c r="H144" s="366">
        <v>3</v>
      </c>
      <c r="I144" s="367" t="s">
        <v>23</v>
      </c>
    </row>
    <row r="145" spans="1:9" ht="12.3">
      <c r="A145" s="361">
        <v>41423</v>
      </c>
      <c r="B145" s="362" t="s">
        <v>2002</v>
      </c>
      <c r="C145" s="363">
        <v>4.5999999999999996</v>
      </c>
      <c r="D145" s="362">
        <v>7</v>
      </c>
      <c r="E145" s="362" t="s">
        <v>35</v>
      </c>
      <c r="F145" s="364" t="s">
        <v>23</v>
      </c>
      <c r="G145" s="365" t="s">
        <v>23</v>
      </c>
      <c r="H145" s="366" t="s">
        <v>1478</v>
      </c>
      <c r="I145" s="367" t="s">
        <v>23</v>
      </c>
    </row>
    <row r="146" spans="1:9" ht="12.3">
      <c r="A146" s="361">
        <v>41424</v>
      </c>
      <c r="B146" s="362" t="s">
        <v>2003</v>
      </c>
      <c r="C146" s="363">
        <v>3.5</v>
      </c>
      <c r="D146" s="362">
        <v>13</v>
      </c>
      <c r="E146" s="362"/>
      <c r="F146" s="364" t="s">
        <v>23</v>
      </c>
      <c r="G146" s="365" t="s">
        <v>23</v>
      </c>
      <c r="H146" s="366" t="s">
        <v>1478</v>
      </c>
      <c r="I146" s="367" t="s">
        <v>23</v>
      </c>
    </row>
    <row r="147" spans="1:9" ht="12.3">
      <c r="A147" s="361">
        <v>41425</v>
      </c>
      <c r="B147" s="362" t="s">
        <v>1662</v>
      </c>
      <c r="C147" s="363">
        <v>4.8</v>
      </c>
      <c r="D147" s="362">
        <v>15</v>
      </c>
      <c r="E147" s="362"/>
      <c r="F147" s="364" t="s">
        <v>23</v>
      </c>
      <c r="G147" s="365" t="s">
        <v>23</v>
      </c>
      <c r="H147" s="366">
        <v>2</v>
      </c>
      <c r="I147" s="367" t="s">
        <v>23</v>
      </c>
    </row>
    <row r="148" spans="1:9" ht="12.3">
      <c r="A148" s="361">
        <v>41426</v>
      </c>
      <c r="B148" s="369" t="s">
        <v>2004</v>
      </c>
      <c r="C148" s="363">
        <v>5.7</v>
      </c>
      <c r="D148" s="362">
        <v>5</v>
      </c>
      <c r="E148" s="362" t="s">
        <v>123</v>
      </c>
      <c r="F148" s="364" t="s">
        <v>23</v>
      </c>
      <c r="G148" s="365">
        <v>33</v>
      </c>
      <c r="H148" s="366">
        <v>3</v>
      </c>
      <c r="I148" s="367" t="s">
        <v>23</v>
      </c>
    </row>
    <row r="149" spans="1:9" ht="12.3">
      <c r="A149" s="371">
        <v>41427</v>
      </c>
      <c r="B149" s="372" t="s">
        <v>1969</v>
      </c>
      <c r="C149" s="373">
        <v>6.3</v>
      </c>
      <c r="D149" s="372"/>
      <c r="E149" s="372" t="s">
        <v>365</v>
      </c>
      <c r="F149" s="374">
        <v>6</v>
      </c>
      <c r="G149" s="375">
        <v>20</v>
      </c>
      <c r="H149" s="376" t="s">
        <v>1511</v>
      </c>
      <c r="I149" s="377" t="s">
        <v>23</v>
      </c>
    </row>
    <row r="150" spans="1:9" ht="12.3">
      <c r="A150" s="361">
        <v>41427</v>
      </c>
      <c r="B150" s="369" t="s">
        <v>2004</v>
      </c>
      <c r="C150" s="363">
        <v>5.7</v>
      </c>
      <c r="D150" s="362">
        <v>3</v>
      </c>
      <c r="E150" s="362" t="s">
        <v>35</v>
      </c>
      <c r="F150" s="364" t="s">
        <v>23</v>
      </c>
      <c r="G150" s="365" t="s">
        <v>23</v>
      </c>
      <c r="H150" s="366">
        <v>3</v>
      </c>
      <c r="I150" s="367" t="s">
        <v>23</v>
      </c>
    </row>
    <row r="151" spans="1:9" ht="12.3">
      <c r="A151" s="361">
        <v>41427</v>
      </c>
      <c r="B151" s="362" t="s">
        <v>67</v>
      </c>
      <c r="C151" s="363" t="s">
        <v>1771</v>
      </c>
      <c r="D151" s="362"/>
      <c r="E151" s="362"/>
      <c r="F151" s="364" t="s">
        <v>23</v>
      </c>
      <c r="G151" s="365" t="s">
        <v>23</v>
      </c>
      <c r="H151" s="366">
        <v>2</v>
      </c>
      <c r="I151" s="367" t="s">
        <v>23</v>
      </c>
    </row>
    <row r="152" spans="1:9" ht="12.3">
      <c r="A152" s="361">
        <v>41430</v>
      </c>
      <c r="B152" s="362" t="s">
        <v>484</v>
      </c>
      <c r="C152" s="363">
        <v>4.0999999999999996</v>
      </c>
      <c r="D152" s="362">
        <v>10</v>
      </c>
      <c r="E152" s="362"/>
      <c r="F152" s="364" t="s">
        <v>23</v>
      </c>
      <c r="G152" s="365" t="s">
        <v>23</v>
      </c>
      <c r="H152" s="397">
        <v>2</v>
      </c>
      <c r="I152" s="367" t="s">
        <v>23</v>
      </c>
    </row>
    <row r="153" spans="1:9" ht="12.3">
      <c r="A153" s="361">
        <v>41431</v>
      </c>
      <c r="B153" s="362" t="s">
        <v>67</v>
      </c>
      <c r="C153" s="363" t="s">
        <v>1608</v>
      </c>
      <c r="D153" s="362">
        <v>1</v>
      </c>
      <c r="E153" s="362" t="s">
        <v>684</v>
      </c>
      <c r="F153" s="364" t="s">
        <v>23</v>
      </c>
      <c r="G153" s="365" t="s">
        <v>23</v>
      </c>
      <c r="H153" s="366">
        <v>2</v>
      </c>
      <c r="I153" s="367" t="s">
        <v>23</v>
      </c>
    </row>
    <row r="154" spans="1:9" ht="12.3">
      <c r="A154" s="361">
        <v>41433</v>
      </c>
      <c r="B154" s="362" t="s">
        <v>1579</v>
      </c>
      <c r="C154" s="363">
        <v>4.5999999999999996</v>
      </c>
      <c r="D154" s="362">
        <v>86</v>
      </c>
      <c r="E154" s="362"/>
      <c r="F154" s="364" t="s">
        <v>23</v>
      </c>
      <c r="G154" s="365" t="s">
        <v>23</v>
      </c>
      <c r="H154" s="366">
        <v>2</v>
      </c>
      <c r="I154" s="367" t="s">
        <v>23</v>
      </c>
    </row>
    <row r="155" spans="1:9" ht="12.3">
      <c r="A155" s="361">
        <v>41434</v>
      </c>
      <c r="B155" s="362" t="s">
        <v>2005</v>
      </c>
      <c r="C155" s="363">
        <v>5.8</v>
      </c>
      <c r="D155" s="362">
        <v>4</v>
      </c>
      <c r="E155" s="362" t="s">
        <v>123</v>
      </c>
      <c r="F155" s="364" t="s">
        <v>23</v>
      </c>
      <c r="G155" s="365" t="s">
        <v>23</v>
      </c>
      <c r="H155" s="366">
        <v>1</v>
      </c>
      <c r="I155" s="367" t="s">
        <v>23</v>
      </c>
    </row>
    <row r="156" spans="1:9" ht="12.3">
      <c r="A156" s="361">
        <v>41437</v>
      </c>
      <c r="B156" s="362" t="s">
        <v>1499</v>
      </c>
      <c r="C156" s="363" t="s">
        <v>1602</v>
      </c>
      <c r="D156" s="362"/>
      <c r="E156" s="362"/>
      <c r="F156" s="364" t="s">
        <v>23</v>
      </c>
      <c r="G156" s="365" t="s">
        <v>23</v>
      </c>
      <c r="H156" s="366">
        <v>2</v>
      </c>
      <c r="I156" s="367" t="s">
        <v>23</v>
      </c>
    </row>
    <row r="157" spans="1:9" ht="12.3">
      <c r="A157" s="361">
        <v>41437</v>
      </c>
      <c r="B157" s="362" t="s">
        <v>105</v>
      </c>
      <c r="C157" s="363">
        <v>4.5999999999999996</v>
      </c>
      <c r="D157" s="362">
        <v>14</v>
      </c>
      <c r="E157" s="362"/>
      <c r="F157" s="364" t="s">
        <v>23</v>
      </c>
      <c r="G157" s="365" t="s">
        <v>23</v>
      </c>
      <c r="H157" s="366">
        <v>2</v>
      </c>
      <c r="I157" s="367" t="s">
        <v>23</v>
      </c>
    </row>
    <row r="158" spans="1:9" ht="12.3">
      <c r="A158" s="361">
        <v>41438</v>
      </c>
      <c r="B158" s="362" t="s">
        <v>1961</v>
      </c>
      <c r="C158" s="363">
        <v>3.3</v>
      </c>
      <c r="D158" s="362">
        <v>8</v>
      </c>
      <c r="E158" s="362" t="s">
        <v>684</v>
      </c>
      <c r="F158" s="364" t="s">
        <v>23</v>
      </c>
      <c r="G158" s="365" t="s">
        <v>23</v>
      </c>
      <c r="H158" s="366" t="s">
        <v>1478</v>
      </c>
      <c r="I158" s="367" t="s">
        <v>23</v>
      </c>
    </row>
    <row r="159" spans="1:9" ht="12.3">
      <c r="A159" s="361">
        <v>41438</v>
      </c>
      <c r="B159" s="362" t="s">
        <v>2006</v>
      </c>
      <c r="C159" s="362">
        <v>6.7</v>
      </c>
      <c r="D159" s="362"/>
      <c r="E159" s="362"/>
      <c r="F159" s="364" t="s">
        <v>23</v>
      </c>
      <c r="G159" s="365" t="s">
        <v>23</v>
      </c>
      <c r="H159" s="366">
        <v>2</v>
      </c>
      <c r="I159" s="367" t="s">
        <v>23</v>
      </c>
    </row>
    <row r="160" spans="1:9" ht="12.3">
      <c r="A160" s="371">
        <v>41440</v>
      </c>
      <c r="B160" s="372" t="s">
        <v>2007</v>
      </c>
      <c r="C160" s="373">
        <v>6.6</v>
      </c>
      <c r="D160" s="372">
        <v>46</v>
      </c>
      <c r="E160" s="372" t="s">
        <v>35</v>
      </c>
      <c r="F160" s="374">
        <v>1</v>
      </c>
      <c r="G160" s="375">
        <v>6</v>
      </c>
      <c r="H160" s="376">
        <v>2</v>
      </c>
      <c r="I160" s="377" t="s">
        <v>23</v>
      </c>
    </row>
    <row r="161" spans="1:9" ht="12.3">
      <c r="A161" s="361">
        <v>41441</v>
      </c>
      <c r="B161" s="369" t="s">
        <v>2008</v>
      </c>
      <c r="C161" s="363">
        <v>6.1</v>
      </c>
      <c r="D161" s="362">
        <v>53</v>
      </c>
      <c r="E161" s="362" t="s">
        <v>134</v>
      </c>
      <c r="F161" s="364" t="s">
        <v>23</v>
      </c>
      <c r="G161" s="365">
        <v>2</v>
      </c>
      <c r="H161" s="366" t="s">
        <v>1511</v>
      </c>
      <c r="I161" s="367" t="s">
        <v>23</v>
      </c>
    </row>
    <row r="162" spans="1:9" ht="12.3">
      <c r="A162" s="361">
        <v>41441</v>
      </c>
      <c r="B162" s="362" t="s">
        <v>1598</v>
      </c>
      <c r="C162" s="363" t="s">
        <v>525</v>
      </c>
      <c r="D162" s="362"/>
      <c r="E162" s="362" t="s">
        <v>134</v>
      </c>
      <c r="F162" s="364" t="s">
        <v>23</v>
      </c>
      <c r="G162" s="365" t="s">
        <v>23</v>
      </c>
      <c r="H162" s="366" t="s">
        <v>23</v>
      </c>
      <c r="I162" s="367" t="s">
        <v>2009</v>
      </c>
    </row>
    <row r="163" spans="1:9" ht="12.3">
      <c r="A163" s="399" t="s">
        <v>2010</v>
      </c>
      <c r="B163" s="362" t="s">
        <v>1546</v>
      </c>
      <c r="C163" s="363" t="s">
        <v>2011</v>
      </c>
      <c r="D163" s="362"/>
      <c r="E163" s="362"/>
      <c r="F163" s="364" t="s">
        <v>23</v>
      </c>
      <c r="G163" s="365" t="s">
        <v>23</v>
      </c>
      <c r="H163" s="366" t="s">
        <v>1478</v>
      </c>
      <c r="I163" s="367" t="s">
        <v>23</v>
      </c>
    </row>
    <row r="164" spans="1:9" ht="12.3">
      <c r="A164" s="361">
        <v>41444</v>
      </c>
      <c r="B164" s="362" t="s">
        <v>1622</v>
      </c>
      <c r="C164" s="363">
        <v>3.8</v>
      </c>
      <c r="D164" s="362">
        <v>3</v>
      </c>
      <c r="E164" s="362"/>
      <c r="F164" s="364" t="s">
        <v>23</v>
      </c>
      <c r="G164" s="365" t="s">
        <v>23</v>
      </c>
      <c r="H164" s="366">
        <v>2</v>
      </c>
      <c r="I164" s="367" t="s">
        <v>23</v>
      </c>
    </row>
    <row r="165" spans="1:9" ht="12.3">
      <c r="A165" s="361">
        <v>41444</v>
      </c>
      <c r="B165" s="369" t="s">
        <v>2012</v>
      </c>
      <c r="C165" s="363">
        <v>5.4</v>
      </c>
      <c r="D165" s="362">
        <v>4</v>
      </c>
      <c r="E165" s="362" t="s">
        <v>123</v>
      </c>
      <c r="F165" s="364" t="s">
        <v>23</v>
      </c>
      <c r="G165" s="365" t="s">
        <v>23</v>
      </c>
      <c r="H165" s="366">
        <v>3</v>
      </c>
      <c r="I165" s="367" t="s">
        <v>23</v>
      </c>
    </row>
    <row r="166" spans="1:9" ht="12.3">
      <c r="A166" s="361">
        <v>41445</v>
      </c>
      <c r="B166" s="369" t="s">
        <v>1974</v>
      </c>
      <c r="C166" s="363">
        <v>5</v>
      </c>
      <c r="D166" s="362">
        <v>6</v>
      </c>
      <c r="E166" s="362"/>
      <c r="F166" s="364" t="s">
        <v>23</v>
      </c>
      <c r="G166" s="365" t="s">
        <v>23</v>
      </c>
      <c r="H166" s="366">
        <v>3</v>
      </c>
      <c r="I166" s="367" t="s">
        <v>23</v>
      </c>
    </row>
    <row r="167" spans="1:9" ht="12.3">
      <c r="A167" s="361">
        <v>41446</v>
      </c>
      <c r="B167" s="362" t="s">
        <v>1853</v>
      </c>
      <c r="C167" s="363">
        <v>3.9</v>
      </c>
      <c r="D167" s="362">
        <v>8</v>
      </c>
      <c r="E167" s="362"/>
      <c r="F167" s="364" t="s">
        <v>23</v>
      </c>
      <c r="G167" s="365" t="s">
        <v>23</v>
      </c>
      <c r="H167" s="366">
        <v>2</v>
      </c>
      <c r="I167" s="367" t="s">
        <v>23</v>
      </c>
    </row>
    <row r="168" spans="1:9" ht="12.3">
      <c r="A168" s="361">
        <v>41446</v>
      </c>
      <c r="B168" s="369" t="s">
        <v>1618</v>
      </c>
      <c r="C168" s="363">
        <v>5.3</v>
      </c>
      <c r="D168" s="362">
        <v>4</v>
      </c>
      <c r="E168" s="362" t="s">
        <v>35</v>
      </c>
      <c r="F168" s="364" t="s">
        <v>23</v>
      </c>
      <c r="G168" s="365">
        <v>7</v>
      </c>
      <c r="H168" s="397">
        <v>3</v>
      </c>
      <c r="I168" s="367" t="s">
        <v>23</v>
      </c>
    </row>
    <row r="169" spans="1:9" ht="12.3">
      <c r="A169" s="361">
        <v>41447</v>
      </c>
      <c r="B169" s="369" t="s">
        <v>1492</v>
      </c>
      <c r="C169" s="363">
        <v>5.4</v>
      </c>
      <c r="D169" s="362">
        <v>10</v>
      </c>
      <c r="E169" s="362" t="s">
        <v>35</v>
      </c>
      <c r="F169" s="364" t="s">
        <v>23</v>
      </c>
      <c r="G169" s="365">
        <v>49</v>
      </c>
      <c r="H169" s="366">
        <v>4</v>
      </c>
      <c r="I169" s="367" t="s">
        <v>23</v>
      </c>
    </row>
    <row r="170" spans="1:9" ht="12.3">
      <c r="A170" s="361">
        <v>41448</v>
      </c>
      <c r="B170" s="369" t="s">
        <v>2013</v>
      </c>
      <c r="C170" s="363">
        <v>4.4000000000000004</v>
      </c>
      <c r="D170" s="362">
        <v>9</v>
      </c>
      <c r="E170" s="362" t="s">
        <v>1364</v>
      </c>
      <c r="F170" s="364" t="s">
        <v>23</v>
      </c>
      <c r="G170" s="365">
        <v>5</v>
      </c>
      <c r="H170" s="397">
        <v>3</v>
      </c>
      <c r="I170" s="367" t="s">
        <v>23</v>
      </c>
    </row>
    <row r="171" spans="1:9" ht="12.3">
      <c r="A171" s="361">
        <v>41448</v>
      </c>
      <c r="B171" s="362" t="s">
        <v>241</v>
      </c>
      <c r="C171" s="363">
        <v>5.8</v>
      </c>
      <c r="D171" s="362">
        <v>14</v>
      </c>
      <c r="E171" s="362" t="s">
        <v>35</v>
      </c>
      <c r="F171" s="364" t="s">
        <v>23</v>
      </c>
      <c r="G171" s="365" t="s">
        <v>23</v>
      </c>
      <c r="H171" s="366">
        <v>1</v>
      </c>
      <c r="I171" s="367" t="s">
        <v>23</v>
      </c>
    </row>
    <row r="172" spans="1:9" ht="12.3">
      <c r="A172" s="361">
        <v>41450</v>
      </c>
      <c r="B172" s="369" t="s">
        <v>1617</v>
      </c>
      <c r="C172" s="363">
        <v>4.3</v>
      </c>
      <c r="D172" s="362">
        <v>12</v>
      </c>
      <c r="E172" s="362"/>
      <c r="F172" s="364" t="s">
        <v>23</v>
      </c>
      <c r="G172" s="365" t="s">
        <v>23</v>
      </c>
      <c r="H172" s="366" t="s">
        <v>1511</v>
      </c>
      <c r="I172" s="367" t="s">
        <v>23</v>
      </c>
    </row>
    <row r="173" spans="1:9" ht="12.3">
      <c r="A173" s="361">
        <v>41453</v>
      </c>
      <c r="B173" s="369" t="s">
        <v>1001</v>
      </c>
      <c r="C173" s="363">
        <v>5</v>
      </c>
      <c r="D173" s="362"/>
      <c r="E173" s="362"/>
      <c r="F173" s="364" t="s">
        <v>23</v>
      </c>
      <c r="G173" s="365">
        <v>20</v>
      </c>
      <c r="H173" s="397">
        <v>3</v>
      </c>
      <c r="I173" s="367" t="s">
        <v>23</v>
      </c>
    </row>
    <row r="174" spans="1:9" ht="12.3">
      <c r="A174" s="361">
        <v>41453</v>
      </c>
      <c r="B174" s="362" t="s">
        <v>1617</v>
      </c>
      <c r="C174" s="363">
        <v>4.0999999999999996</v>
      </c>
      <c r="D174" s="362">
        <v>4</v>
      </c>
      <c r="E174" s="362"/>
      <c r="F174" s="364" t="s">
        <v>23</v>
      </c>
      <c r="G174" s="365" t="s">
        <v>23</v>
      </c>
      <c r="H174" s="366">
        <v>2</v>
      </c>
      <c r="I174" s="367" t="s">
        <v>23</v>
      </c>
    </row>
    <row r="175" spans="1:9" ht="12.3">
      <c r="A175" s="361">
        <v>41455</v>
      </c>
      <c r="B175" s="369" t="s">
        <v>2013</v>
      </c>
      <c r="C175" s="363">
        <v>4.4000000000000004</v>
      </c>
      <c r="D175" s="362">
        <v>10</v>
      </c>
      <c r="E175" s="362" t="s">
        <v>134</v>
      </c>
      <c r="F175" s="364" t="s">
        <v>23</v>
      </c>
      <c r="G175" s="365" t="s">
        <v>23</v>
      </c>
      <c r="H175" s="366" t="s">
        <v>1511</v>
      </c>
      <c r="I175" s="367" t="s">
        <v>23</v>
      </c>
    </row>
    <row r="176" spans="1:9" ht="12.3">
      <c r="A176" s="361">
        <v>41457</v>
      </c>
      <c r="B176" s="362" t="s">
        <v>1708</v>
      </c>
      <c r="C176" s="363">
        <v>4.2</v>
      </c>
      <c r="D176" s="362"/>
      <c r="E176" s="362"/>
      <c r="F176" s="364" t="s">
        <v>23</v>
      </c>
      <c r="G176" s="365" t="s">
        <v>23</v>
      </c>
      <c r="H176" s="366">
        <v>2</v>
      </c>
      <c r="I176" s="367" t="s">
        <v>23</v>
      </c>
    </row>
    <row r="177" spans="1:9" ht="12.3">
      <c r="A177" s="371">
        <v>41457</v>
      </c>
      <c r="B177" s="372" t="s">
        <v>1947</v>
      </c>
      <c r="C177" s="373">
        <v>6.1</v>
      </c>
      <c r="D177" s="372">
        <v>10</v>
      </c>
      <c r="E177" s="372" t="s">
        <v>363</v>
      </c>
      <c r="F177" s="374">
        <v>48</v>
      </c>
      <c r="G177" s="375">
        <v>2637</v>
      </c>
      <c r="H177" s="376" t="s">
        <v>1653</v>
      </c>
      <c r="I177" s="377" t="s">
        <v>23</v>
      </c>
    </row>
    <row r="178" spans="1:9" ht="12.3">
      <c r="A178" s="361">
        <v>41457</v>
      </c>
      <c r="B178" s="362" t="s">
        <v>156</v>
      </c>
      <c r="C178" s="363">
        <v>4.7</v>
      </c>
      <c r="D178" s="362">
        <v>7</v>
      </c>
      <c r="E178" s="362"/>
      <c r="F178" s="364" t="s">
        <v>23</v>
      </c>
      <c r="G178" s="365" t="s">
        <v>23</v>
      </c>
      <c r="H178" s="366">
        <v>2</v>
      </c>
      <c r="I178" s="367" t="s">
        <v>23</v>
      </c>
    </row>
    <row r="179" spans="1:9" ht="12.3">
      <c r="A179" s="361">
        <v>41457</v>
      </c>
      <c r="B179" s="369" t="s">
        <v>1687</v>
      </c>
      <c r="C179" s="363">
        <v>5.2</v>
      </c>
      <c r="D179" s="362"/>
      <c r="E179" s="362"/>
      <c r="F179" s="364" t="s">
        <v>23</v>
      </c>
      <c r="G179" s="365" t="s">
        <v>23</v>
      </c>
      <c r="H179" s="366">
        <v>3</v>
      </c>
      <c r="I179" s="367" t="s">
        <v>23</v>
      </c>
    </row>
    <row r="180" spans="1:9" ht="12.3">
      <c r="A180" s="361">
        <v>41457</v>
      </c>
      <c r="B180" s="369" t="s">
        <v>2014</v>
      </c>
      <c r="C180" s="363">
        <v>5.5</v>
      </c>
      <c r="D180" s="362">
        <v>18</v>
      </c>
      <c r="E180" s="362" t="s">
        <v>365</v>
      </c>
      <c r="F180" s="364" t="s">
        <v>23</v>
      </c>
      <c r="G180" s="365" t="s">
        <v>23</v>
      </c>
      <c r="H180" s="366">
        <v>2</v>
      </c>
      <c r="I180" s="367" t="s">
        <v>23</v>
      </c>
    </row>
    <row r="181" spans="1:9" ht="12.3">
      <c r="A181" s="361">
        <v>41457</v>
      </c>
      <c r="B181" s="362" t="s">
        <v>484</v>
      </c>
      <c r="C181" s="363">
        <v>3.6</v>
      </c>
      <c r="D181" s="362">
        <v>4</v>
      </c>
      <c r="E181" s="362"/>
      <c r="F181" s="364" t="s">
        <v>23</v>
      </c>
      <c r="G181" s="365" t="s">
        <v>23</v>
      </c>
      <c r="H181" s="366" t="s">
        <v>1478</v>
      </c>
      <c r="I181" s="367" t="s">
        <v>23</v>
      </c>
    </row>
    <row r="182" spans="1:9" ht="12.3">
      <c r="A182" s="361">
        <v>41457</v>
      </c>
      <c r="B182" s="362" t="s">
        <v>615</v>
      </c>
      <c r="C182" s="363" t="s">
        <v>1935</v>
      </c>
      <c r="D182" s="362">
        <v>3</v>
      </c>
      <c r="E182" s="362"/>
      <c r="F182" s="364" t="s">
        <v>23</v>
      </c>
      <c r="G182" s="365" t="s">
        <v>23</v>
      </c>
      <c r="H182" s="366">
        <v>2</v>
      </c>
      <c r="I182" s="367" t="s">
        <v>23</v>
      </c>
    </row>
    <row r="183" spans="1:9" ht="12.3">
      <c r="A183" s="361">
        <v>41458</v>
      </c>
      <c r="B183" s="362" t="s">
        <v>156</v>
      </c>
      <c r="C183" s="363">
        <v>4.7</v>
      </c>
      <c r="D183" s="362">
        <v>4</v>
      </c>
      <c r="E183" s="362"/>
      <c r="F183" s="364" t="s">
        <v>23</v>
      </c>
      <c r="G183" s="365" t="s">
        <v>23</v>
      </c>
      <c r="H183" s="397">
        <v>2</v>
      </c>
      <c r="I183" s="367" t="s">
        <v>23</v>
      </c>
    </row>
    <row r="184" spans="1:9" ht="12.3">
      <c r="A184" s="361">
        <v>41458</v>
      </c>
      <c r="B184" s="369" t="s">
        <v>1687</v>
      </c>
      <c r="C184" s="363">
        <v>5.7</v>
      </c>
      <c r="D184" s="362"/>
      <c r="E184" s="362" t="s">
        <v>35</v>
      </c>
      <c r="F184" s="364" t="s">
        <v>23</v>
      </c>
      <c r="G184" s="365" t="s">
        <v>23</v>
      </c>
      <c r="H184" s="366">
        <v>3</v>
      </c>
      <c r="I184" s="367" t="s">
        <v>23</v>
      </c>
    </row>
    <row r="185" spans="1:9" ht="12.3">
      <c r="A185" s="361">
        <v>41463</v>
      </c>
      <c r="B185" s="369" t="s">
        <v>2015</v>
      </c>
      <c r="C185" s="363">
        <v>5.8</v>
      </c>
      <c r="D185" s="362">
        <v>77</v>
      </c>
      <c r="E185" s="362" t="s">
        <v>1364</v>
      </c>
      <c r="F185" s="364" t="s">
        <v>23</v>
      </c>
      <c r="G185" s="365">
        <v>1</v>
      </c>
      <c r="H185" s="366" t="s">
        <v>1511</v>
      </c>
      <c r="I185" s="367" t="s">
        <v>23</v>
      </c>
    </row>
    <row r="186" spans="1:9" ht="12.3">
      <c r="A186" s="361">
        <v>41468</v>
      </c>
      <c r="B186" s="369" t="s">
        <v>1893</v>
      </c>
      <c r="C186" s="363">
        <v>4.7</v>
      </c>
      <c r="D186" s="362"/>
      <c r="E186" s="362" t="s">
        <v>134</v>
      </c>
      <c r="F186" s="364" t="s">
        <v>23</v>
      </c>
      <c r="G186" s="365">
        <v>1</v>
      </c>
      <c r="H186" s="366">
        <v>2</v>
      </c>
      <c r="I186" s="367" t="s">
        <v>23</v>
      </c>
    </row>
    <row r="187" spans="1:9" ht="12.3">
      <c r="A187" s="361">
        <v>41468</v>
      </c>
      <c r="B187" s="362" t="s">
        <v>67</v>
      </c>
      <c r="C187" s="363" t="s">
        <v>1875</v>
      </c>
      <c r="D187" s="362">
        <v>1</v>
      </c>
      <c r="E187" s="362"/>
      <c r="F187" s="364" t="s">
        <v>23</v>
      </c>
      <c r="G187" s="365" t="s">
        <v>23</v>
      </c>
      <c r="H187" s="366">
        <v>2</v>
      </c>
      <c r="I187" s="367" t="s">
        <v>23</v>
      </c>
    </row>
    <row r="188" spans="1:9" ht="12.3">
      <c r="A188" s="361">
        <v>41468</v>
      </c>
      <c r="B188" s="362" t="s">
        <v>1670</v>
      </c>
      <c r="C188" s="363">
        <v>4.5</v>
      </c>
      <c r="D188" s="362"/>
      <c r="E188" s="362"/>
      <c r="F188" s="364" t="s">
        <v>2016</v>
      </c>
      <c r="G188" s="365" t="s">
        <v>2016</v>
      </c>
      <c r="H188" s="366">
        <v>2</v>
      </c>
      <c r="I188" s="367" t="s">
        <v>23</v>
      </c>
    </row>
    <row r="189" spans="1:9" ht="12.3">
      <c r="A189" s="361">
        <v>41470</v>
      </c>
      <c r="B189" s="369" t="s">
        <v>414</v>
      </c>
      <c r="C189" s="363">
        <v>4.9000000000000004</v>
      </c>
      <c r="D189" s="362">
        <v>24</v>
      </c>
      <c r="E189" s="362"/>
      <c r="F189" s="364" t="s">
        <v>23</v>
      </c>
      <c r="G189" s="365">
        <v>4</v>
      </c>
      <c r="H189" s="397">
        <v>2</v>
      </c>
      <c r="I189" s="367" t="s">
        <v>23</v>
      </c>
    </row>
    <row r="190" spans="1:9" ht="12.3">
      <c r="A190" s="361">
        <v>41471</v>
      </c>
      <c r="B190" s="362" t="s">
        <v>1919</v>
      </c>
      <c r="C190" s="363" t="s">
        <v>1914</v>
      </c>
      <c r="D190" s="362"/>
      <c r="E190" s="362"/>
      <c r="F190" s="364" t="s">
        <v>23</v>
      </c>
      <c r="G190" s="365" t="s">
        <v>23</v>
      </c>
      <c r="H190" s="366" t="s">
        <v>1478</v>
      </c>
      <c r="I190" s="367" t="s">
        <v>23</v>
      </c>
    </row>
    <row r="191" spans="1:9" ht="12.3">
      <c r="A191" s="361">
        <v>41472</v>
      </c>
      <c r="B191" s="369" t="s">
        <v>1919</v>
      </c>
      <c r="C191" s="363">
        <v>6</v>
      </c>
      <c r="D191" s="362">
        <v>6</v>
      </c>
      <c r="E191" s="362" t="s">
        <v>123</v>
      </c>
      <c r="F191" s="364" t="s">
        <v>23</v>
      </c>
      <c r="G191" s="365">
        <v>3</v>
      </c>
      <c r="H191" s="366">
        <v>4</v>
      </c>
      <c r="I191" s="367" t="s">
        <v>23</v>
      </c>
    </row>
    <row r="192" spans="1:9" ht="12.3">
      <c r="A192" s="361">
        <v>41472</v>
      </c>
      <c r="B192" s="369" t="s">
        <v>1531</v>
      </c>
      <c r="C192" s="363">
        <v>5.0999999999999996</v>
      </c>
      <c r="D192" s="362"/>
      <c r="E192" s="362"/>
      <c r="F192" s="364" t="s">
        <v>23</v>
      </c>
      <c r="G192" s="365">
        <v>24</v>
      </c>
      <c r="H192" s="366">
        <v>3</v>
      </c>
      <c r="I192" s="367" t="s">
        <v>23</v>
      </c>
    </row>
    <row r="193" spans="1:9" ht="12.3">
      <c r="A193" s="361">
        <v>41473</v>
      </c>
      <c r="B193" s="369" t="s">
        <v>1526</v>
      </c>
      <c r="C193" s="363">
        <v>4</v>
      </c>
      <c r="D193" s="362">
        <v>9</v>
      </c>
      <c r="E193" s="362"/>
      <c r="F193" s="364" t="s">
        <v>23</v>
      </c>
      <c r="G193" s="365">
        <v>1</v>
      </c>
      <c r="H193" s="366">
        <v>2</v>
      </c>
      <c r="I193" s="367" t="s">
        <v>23</v>
      </c>
    </row>
    <row r="194" spans="1:9" ht="12.3">
      <c r="A194" s="361">
        <v>41475</v>
      </c>
      <c r="B194" s="362" t="s">
        <v>1426</v>
      </c>
      <c r="C194" s="363" t="s">
        <v>1772</v>
      </c>
      <c r="D194" s="362">
        <v>4</v>
      </c>
      <c r="E194" s="362"/>
      <c r="F194" s="364" t="s">
        <v>23</v>
      </c>
      <c r="G194" s="365" t="s">
        <v>23</v>
      </c>
      <c r="H194" s="366" t="s">
        <v>1478</v>
      </c>
      <c r="I194" s="367" t="s">
        <v>23</v>
      </c>
    </row>
    <row r="195" spans="1:9" ht="12.3">
      <c r="A195" s="361">
        <v>41476</v>
      </c>
      <c r="B195" s="362" t="s">
        <v>2017</v>
      </c>
      <c r="C195" s="363">
        <v>5</v>
      </c>
      <c r="D195" s="362">
        <v>5</v>
      </c>
      <c r="E195" s="362"/>
      <c r="F195" s="364" t="s">
        <v>23</v>
      </c>
      <c r="G195" s="365" t="s">
        <v>23</v>
      </c>
      <c r="H195" s="366" t="s">
        <v>1478</v>
      </c>
      <c r="I195" s="367" t="s">
        <v>23</v>
      </c>
    </row>
    <row r="196" spans="1:9" ht="12.3">
      <c r="A196" s="361">
        <v>41476</v>
      </c>
      <c r="B196" s="369" t="s">
        <v>2018</v>
      </c>
      <c r="C196" s="363">
        <v>6.6</v>
      </c>
      <c r="D196" s="362">
        <v>14</v>
      </c>
      <c r="E196" s="362" t="s">
        <v>35</v>
      </c>
      <c r="F196" s="364" t="s">
        <v>23</v>
      </c>
      <c r="G196" s="365">
        <v>25</v>
      </c>
      <c r="H196" s="366">
        <v>2</v>
      </c>
      <c r="I196" s="367" t="s">
        <v>2019</v>
      </c>
    </row>
    <row r="197" spans="1:9" ht="12.3">
      <c r="A197" s="371">
        <v>41476</v>
      </c>
      <c r="B197" s="372" t="s">
        <v>1510</v>
      </c>
      <c r="C197" s="373">
        <v>6.6</v>
      </c>
      <c r="D197" s="372">
        <v>20</v>
      </c>
      <c r="E197" s="372" t="s">
        <v>363</v>
      </c>
      <c r="F197" s="403">
        <v>95</v>
      </c>
      <c r="G197" s="404">
        <v>4319</v>
      </c>
      <c r="H197" s="376">
        <v>5</v>
      </c>
      <c r="I197" s="377" t="s">
        <v>23</v>
      </c>
    </row>
    <row r="198" spans="1:9" ht="12.3">
      <c r="A198" s="361">
        <v>41477</v>
      </c>
      <c r="B198" s="362" t="s">
        <v>2020</v>
      </c>
      <c r="C198" s="363">
        <v>5.6</v>
      </c>
      <c r="D198" s="362"/>
      <c r="E198" s="362"/>
      <c r="F198" s="405"/>
      <c r="G198" s="405"/>
      <c r="H198" s="366">
        <v>3</v>
      </c>
      <c r="I198" s="367" t="s">
        <v>23</v>
      </c>
    </row>
    <row r="199" spans="1:9" ht="12.3">
      <c r="A199" s="361">
        <v>41480</v>
      </c>
      <c r="B199" s="369" t="s">
        <v>1919</v>
      </c>
      <c r="C199" s="363">
        <v>4.5</v>
      </c>
      <c r="D199" s="362">
        <v>7</v>
      </c>
      <c r="E199" s="362"/>
      <c r="F199" s="364" t="s">
        <v>23</v>
      </c>
      <c r="G199" s="365" t="s">
        <v>23</v>
      </c>
      <c r="H199" s="366" t="s">
        <v>1511</v>
      </c>
      <c r="I199" s="367" t="s">
        <v>23</v>
      </c>
    </row>
    <row r="200" spans="1:9" ht="12.3">
      <c r="A200" s="361">
        <v>41481</v>
      </c>
      <c r="B200" s="369" t="s">
        <v>1510</v>
      </c>
      <c r="C200" s="363">
        <v>4.5</v>
      </c>
      <c r="D200" s="362">
        <v>6</v>
      </c>
      <c r="E200" s="362"/>
      <c r="F200" s="364" t="s">
        <v>23</v>
      </c>
      <c r="G200" s="365">
        <v>34</v>
      </c>
      <c r="H200" s="366">
        <v>4</v>
      </c>
      <c r="I200" s="367" t="s">
        <v>23</v>
      </c>
    </row>
    <row r="201" spans="1:9" ht="12.3">
      <c r="A201" s="361">
        <v>41482</v>
      </c>
      <c r="B201" s="362" t="s">
        <v>1128</v>
      </c>
      <c r="C201" s="363" t="s">
        <v>2021</v>
      </c>
      <c r="D201" s="362">
        <v>4</v>
      </c>
      <c r="E201" s="362"/>
      <c r="F201" s="364" t="s">
        <v>23</v>
      </c>
      <c r="G201" s="365" t="s">
        <v>23</v>
      </c>
      <c r="H201" s="366" t="s">
        <v>1478</v>
      </c>
      <c r="I201" s="367" t="s">
        <v>23</v>
      </c>
    </row>
    <row r="202" spans="1:9" ht="12.3">
      <c r="A202" s="361">
        <v>41483</v>
      </c>
      <c r="B202" s="362" t="s">
        <v>2022</v>
      </c>
      <c r="C202" s="363">
        <v>5.4</v>
      </c>
      <c r="D202" s="362">
        <v>12</v>
      </c>
      <c r="E202" s="362"/>
      <c r="F202" s="364" t="s">
        <v>23</v>
      </c>
      <c r="G202" s="365" t="s">
        <v>23</v>
      </c>
      <c r="H202" s="366">
        <v>1</v>
      </c>
      <c r="I202" s="367" t="s">
        <v>23</v>
      </c>
    </row>
    <row r="203" spans="1:9" ht="12.3">
      <c r="A203" s="361">
        <v>41485</v>
      </c>
      <c r="B203" s="362" t="s">
        <v>2023</v>
      </c>
      <c r="C203" s="363">
        <v>5.3</v>
      </c>
      <c r="D203" s="362">
        <v>7</v>
      </c>
      <c r="E203" s="362"/>
      <c r="F203" s="364" t="s">
        <v>23</v>
      </c>
      <c r="G203" s="365" t="s">
        <v>23</v>
      </c>
      <c r="H203" s="366">
        <v>2</v>
      </c>
      <c r="I203" s="367" t="s">
        <v>23</v>
      </c>
    </row>
    <row r="204" spans="1:9" ht="12.3">
      <c r="A204" s="361">
        <v>41485</v>
      </c>
      <c r="B204" s="362" t="s">
        <v>132</v>
      </c>
      <c r="C204" s="363">
        <v>4.5999999999999996</v>
      </c>
      <c r="D204" s="362">
        <v>4</v>
      </c>
      <c r="E204" s="362" t="s">
        <v>123</v>
      </c>
      <c r="F204" s="364" t="s">
        <v>23</v>
      </c>
      <c r="G204" s="365" t="s">
        <v>23</v>
      </c>
      <c r="H204" s="366">
        <v>2</v>
      </c>
      <c r="I204" s="367" t="s">
        <v>23</v>
      </c>
    </row>
    <row r="205" spans="1:9" ht="12.3">
      <c r="A205" s="361">
        <v>41488</v>
      </c>
      <c r="B205" s="369" t="s">
        <v>1990</v>
      </c>
      <c r="C205" s="363">
        <v>5.4</v>
      </c>
      <c r="D205" s="362">
        <v>28</v>
      </c>
      <c r="E205" s="362"/>
      <c r="F205" s="364" t="s">
        <v>23</v>
      </c>
      <c r="G205" s="365">
        <v>2</v>
      </c>
      <c r="H205" s="366">
        <v>3</v>
      </c>
      <c r="I205" s="367" t="s">
        <v>23</v>
      </c>
    </row>
    <row r="206" spans="1:9" ht="12.3">
      <c r="A206" s="361">
        <v>41488</v>
      </c>
      <c r="B206" s="369" t="s">
        <v>1990</v>
      </c>
      <c r="C206" s="363">
        <v>5.2</v>
      </c>
      <c r="D206" s="362">
        <v>20</v>
      </c>
      <c r="E206" s="362"/>
      <c r="F206" s="364" t="s">
        <v>23</v>
      </c>
      <c r="G206" s="365">
        <v>6</v>
      </c>
      <c r="H206" s="366">
        <v>2</v>
      </c>
      <c r="I206" s="367" t="s">
        <v>23</v>
      </c>
    </row>
    <row r="207" spans="1:9" ht="12.3">
      <c r="A207" s="361">
        <v>41488</v>
      </c>
      <c r="B207" s="362" t="s">
        <v>1481</v>
      </c>
      <c r="C207" s="363">
        <v>4.5999999999999996</v>
      </c>
      <c r="D207" s="362">
        <v>10</v>
      </c>
      <c r="E207" s="362"/>
      <c r="F207" s="364" t="s">
        <v>23</v>
      </c>
      <c r="G207" s="365" t="s">
        <v>23</v>
      </c>
      <c r="H207" s="366">
        <v>2</v>
      </c>
      <c r="I207" s="367" t="s">
        <v>23</v>
      </c>
    </row>
    <row r="208" spans="1:9" ht="12.3">
      <c r="A208" s="361">
        <v>41490</v>
      </c>
      <c r="B208" s="369" t="s">
        <v>2024</v>
      </c>
      <c r="C208" s="363">
        <v>6</v>
      </c>
      <c r="D208" s="362">
        <v>50</v>
      </c>
      <c r="E208" s="362"/>
      <c r="F208" s="364" t="s">
        <v>23</v>
      </c>
      <c r="G208" s="365">
        <v>4</v>
      </c>
      <c r="H208" s="366">
        <v>1</v>
      </c>
      <c r="I208" s="367" t="s">
        <v>23</v>
      </c>
    </row>
    <row r="209" spans="1:9" ht="12.3">
      <c r="A209" s="361">
        <v>41491</v>
      </c>
      <c r="B209" s="362" t="s">
        <v>1904</v>
      </c>
      <c r="C209" s="363">
        <v>5.4</v>
      </c>
      <c r="D209" s="362">
        <v>16</v>
      </c>
      <c r="E209" s="362"/>
      <c r="F209" s="364" t="s">
        <v>23</v>
      </c>
      <c r="G209" s="365" t="s">
        <v>23</v>
      </c>
      <c r="H209" s="366">
        <v>1</v>
      </c>
      <c r="I209" s="367" t="s">
        <v>23</v>
      </c>
    </row>
    <row r="210" spans="1:9" ht="12.3">
      <c r="A210" s="361">
        <v>41493</v>
      </c>
      <c r="B210" s="369" t="s">
        <v>156</v>
      </c>
      <c r="C210" s="363">
        <v>5.0999999999999996</v>
      </c>
      <c r="D210" s="362">
        <v>17</v>
      </c>
      <c r="E210" s="362"/>
      <c r="F210" s="364" t="s">
        <v>23</v>
      </c>
      <c r="G210" s="365">
        <v>2</v>
      </c>
      <c r="H210" s="397">
        <v>3</v>
      </c>
      <c r="I210" s="367" t="s">
        <v>23</v>
      </c>
    </row>
    <row r="211" spans="1:9" ht="12.3">
      <c r="A211" s="361">
        <v>41493</v>
      </c>
      <c r="B211" s="362" t="s">
        <v>1603</v>
      </c>
      <c r="C211" s="363"/>
      <c r="D211" s="362"/>
      <c r="E211" s="362"/>
      <c r="F211" s="364" t="s">
        <v>23</v>
      </c>
      <c r="G211" s="365" t="s">
        <v>23</v>
      </c>
      <c r="H211" s="366">
        <v>2</v>
      </c>
      <c r="I211" s="367" t="s">
        <v>23</v>
      </c>
    </row>
    <row r="212" spans="1:9" ht="12.3">
      <c r="A212" s="361">
        <v>41495</v>
      </c>
      <c r="B212" s="362" t="s">
        <v>915</v>
      </c>
      <c r="C212" s="363">
        <v>3.7</v>
      </c>
      <c r="D212" s="362">
        <v>4</v>
      </c>
      <c r="E212" s="362"/>
      <c r="F212" s="364" t="s">
        <v>23</v>
      </c>
      <c r="G212" s="365" t="s">
        <v>23</v>
      </c>
      <c r="H212" s="366">
        <v>1</v>
      </c>
      <c r="I212" s="367" t="s">
        <v>23</v>
      </c>
    </row>
    <row r="213" spans="1:9" ht="12.3">
      <c r="A213" s="361">
        <v>41495</v>
      </c>
      <c r="B213" s="369" t="s">
        <v>156</v>
      </c>
      <c r="C213" s="363">
        <v>4.8</v>
      </c>
      <c r="D213" s="362">
        <v>15</v>
      </c>
      <c r="E213" s="362"/>
      <c r="F213" s="364" t="s">
        <v>23</v>
      </c>
      <c r="G213" s="365" t="s">
        <v>23</v>
      </c>
      <c r="H213" s="366">
        <v>2</v>
      </c>
      <c r="I213" s="367" t="s">
        <v>23</v>
      </c>
    </row>
    <row r="214" spans="1:9" ht="12.3">
      <c r="A214" s="361">
        <v>41496</v>
      </c>
      <c r="B214" s="362" t="s">
        <v>1947</v>
      </c>
      <c r="C214" s="363">
        <v>4.5</v>
      </c>
      <c r="D214" s="362"/>
      <c r="E214" s="362"/>
      <c r="F214" s="364" t="s">
        <v>23</v>
      </c>
      <c r="G214" s="365" t="s">
        <v>23</v>
      </c>
      <c r="H214" s="366">
        <v>2</v>
      </c>
      <c r="I214" s="367" t="s">
        <v>23</v>
      </c>
    </row>
    <row r="215" spans="1:9" ht="12.3">
      <c r="A215" s="361">
        <v>41497</v>
      </c>
      <c r="B215" s="362" t="s">
        <v>2025</v>
      </c>
      <c r="C215" s="363">
        <v>4.5999999999999996</v>
      </c>
      <c r="D215" s="362"/>
      <c r="E215" s="362"/>
      <c r="F215" s="364" t="s">
        <v>23</v>
      </c>
      <c r="G215" s="365" t="s">
        <v>23</v>
      </c>
      <c r="H215" s="366">
        <v>2</v>
      </c>
      <c r="I215" s="367" t="s">
        <v>23</v>
      </c>
    </row>
    <row r="216" spans="1:9" ht="12.3">
      <c r="A216" s="361">
        <v>41497</v>
      </c>
      <c r="B216" s="369" t="s">
        <v>1583</v>
      </c>
      <c r="C216" s="363">
        <v>6.1</v>
      </c>
      <c r="D216" s="362">
        <v>10</v>
      </c>
      <c r="E216" s="362" t="s">
        <v>123</v>
      </c>
      <c r="F216" s="364" t="s">
        <v>23</v>
      </c>
      <c r="G216" s="365">
        <v>87</v>
      </c>
      <c r="H216" s="366">
        <v>4</v>
      </c>
      <c r="I216" s="367" t="s">
        <v>23</v>
      </c>
    </row>
    <row r="217" spans="1:9" ht="12.3">
      <c r="A217" s="361">
        <v>41499</v>
      </c>
      <c r="B217" s="362" t="s">
        <v>1128</v>
      </c>
      <c r="C217" s="363">
        <v>3.5</v>
      </c>
      <c r="D217" s="362">
        <v>2</v>
      </c>
      <c r="E217" s="362"/>
      <c r="F217" s="364" t="s">
        <v>23</v>
      </c>
      <c r="G217" s="365" t="s">
        <v>23</v>
      </c>
      <c r="H217" s="366">
        <v>2</v>
      </c>
      <c r="I217" s="367" t="s">
        <v>23</v>
      </c>
    </row>
    <row r="218" spans="1:9" ht="12.3">
      <c r="A218" s="361">
        <v>41500</v>
      </c>
      <c r="B218" s="362" t="s">
        <v>2013</v>
      </c>
      <c r="C218" s="363">
        <v>3.6</v>
      </c>
      <c r="D218" s="362">
        <v>7</v>
      </c>
      <c r="E218" s="362" t="s">
        <v>684</v>
      </c>
      <c r="F218" s="364" t="s">
        <v>23</v>
      </c>
      <c r="G218" s="365" t="s">
        <v>23</v>
      </c>
      <c r="H218" s="366" t="s">
        <v>1478</v>
      </c>
      <c r="I218" s="367" t="s">
        <v>23</v>
      </c>
    </row>
    <row r="219" spans="1:9" ht="12.3">
      <c r="A219" s="361">
        <v>41501</v>
      </c>
      <c r="B219" s="362" t="s">
        <v>1527</v>
      </c>
      <c r="C219" s="363">
        <v>4.2</v>
      </c>
      <c r="D219" s="362"/>
      <c r="E219" s="362"/>
      <c r="F219" s="364" t="s">
        <v>23</v>
      </c>
      <c r="G219" s="365" t="s">
        <v>23</v>
      </c>
      <c r="H219" s="366">
        <v>2</v>
      </c>
      <c r="I219" s="367" t="s">
        <v>23</v>
      </c>
    </row>
    <row r="220" spans="1:9" ht="12.3">
      <c r="A220" s="406">
        <v>41502</v>
      </c>
      <c r="B220" s="369" t="s">
        <v>1530</v>
      </c>
      <c r="C220" s="363">
        <v>6.6</v>
      </c>
      <c r="D220" s="362">
        <v>8</v>
      </c>
      <c r="E220" s="362" t="s">
        <v>363</v>
      </c>
      <c r="F220" s="364" t="s">
        <v>23</v>
      </c>
      <c r="G220" s="365">
        <v>5</v>
      </c>
      <c r="H220" s="407">
        <v>3</v>
      </c>
      <c r="I220" s="367" t="s">
        <v>23</v>
      </c>
    </row>
    <row r="221" spans="1:9" ht="12.3">
      <c r="A221" s="408"/>
      <c r="B221" s="409" t="s">
        <v>2026</v>
      </c>
      <c r="C221" s="363">
        <v>5.4</v>
      </c>
      <c r="D221" s="362">
        <v>6</v>
      </c>
      <c r="E221" s="362" t="s">
        <v>365</v>
      </c>
      <c r="F221" s="364" t="s">
        <v>23</v>
      </c>
      <c r="G221" s="365" t="s">
        <v>23</v>
      </c>
      <c r="H221" s="410"/>
      <c r="I221" s="367" t="s">
        <v>23</v>
      </c>
    </row>
    <row r="222" spans="1:9" ht="12.3">
      <c r="A222" s="408"/>
      <c r="B222" s="411"/>
      <c r="C222" s="363">
        <v>5.5</v>
      </c>
      <c r="D222" s="362">
        <v>8</v>
      </c>
      <c r="E222" s="362" t="s">
        <v>123</v>
      </c>
      <c r="F222" s="364" t="s">
        <v>23</v>
      </c>
      <c r="G222" s="365" t="s">
        <v>23</v>
      </c>
      <c r="H222" s="410"/>
      <c r="I222" s="367" t="s">
        <v>23</v>
      </c>
    </row>
    <row r="223" spans="1:9" ht="12.3">
      <c r="A223" s="408"/>
      <c r="B223" s="411"/>
      <c r="C223" s="363">
        <v>5.6</v>
      </c>
      <c r="D223" s="362">
        <v>19</v>
      </c>
      <c r="E223" s="362" t="s">
        <v>123</v>
      </c>
      <c r="F223" s="364" t="s">
        <v>23</v>
      </c>
      <c r="G223" s="365" t="s">
        <v>23</v>
      </c>
      <c r="H223" s="410"/>
      <c r="I223" s="367" t="s">
        <v>23</v>
      </c>
    </row>
    <row r="224" spans="1:9" ht="12.3">
      <c r="A224" s="412"/>
      <c r="B224" s="354"/>
      <c r="C224" s="363">
        <v>6</v>
      </c>
      <c r="D224" s="362">
        <v>14</v>
      </c>
      <c r="E224" s="362" t="s">
        <v>123</v>
      </c>
      <c r="F224" s="364" t="s">
        <v>23</v>
      </c>
      <c r="G224" s="365" t="s">
        <v>23</v>
      </c>
      <c r="H224" s="358"/>
      <c r="I224" s="367" t="s">
        <v>23</v>
      </c>
    </row>
    <row r="225" spans="1:9" ht="12.3">
      <c r="A225" s="361">
        <v>41502</v>
      </c>
      <c r="B225" s="369" t="s">
        <v>1975</v>
      </c>
      <c r="C225" s="363">
        <v>5.0999999999999996</v>
      </c>
      <c r="D225" s="362">
        <v>20</v>
      </c>
      <c r="E225" s="362"/>
      <c r="F225" s="364" t="s">
        <v>23</v>
      </c>
      <c r="G225" s="365">
        <v>2</v>
      </c>
      <c r="H225" s="366" t="s">
        <v>1511</v>
      </c>
      <c r="I225" s="367" t="s">
        <v>23</v>
      </c>
    </row>
    <row r="226" spans="1:9" ht="12.3">
      <c r="A226" s="361">
        <v>41503</v>
      </c>
      <c r="B226" s="362" t="s">
        <v>105</v>
      </c>
      <c r="C226" s="363">
        <v>4.0999999999999996</v>
      </c>
      <c r="D226" s="362">
        <v>5</v>
      </c>
      <c r="E226" s="362"/>
      <c r="F226" s="364" t="s">
        <v>23</v>
      </c>
      <c r="G226" s="365"/>
      <c r="H226" s="366">
        <v>2</v>
      </c>
      <c r="I226" s="367" t="s">
        <v>23</v>
      </c>
    </row>
    <row r="227" spans="1:9" ht="12.3">
      <c r="A227" s="361">
        <v>41504</v>
      </c>
      <c r="B227" s="369" t="s">
        <v>1990</v>
      </c>
      <c r="C227" s="363">
        <v>4.8</v>
      </c>
      <c r="D227" s="362">
        <v>18</v>
      </c>
      <c r="E227" s="362"/>
      <c r="F227" s="364" t="s">
        <v>23</v>
      </c>
      <c r="G227" s="365" t="s">
        <v>23</v>
      </c>
      <c r="H227" s="366">
        <v>2</v>
      </c>
      <c r="I227" s="367" t="s">
        <v>23</v>
      </c>
    </row>
    <row r="228" spans="1:9" ht="12.3">
      <c r="A228" s="361">
        <v>41505</v>
      </c>
      <c r="B228" s="362" t="s">
        <v>1979</v>
      </c>
      <c r="C228" s="363">
        <v>3.3</v>
      </c>
      <c r="D228" s="362">
        <v>11</v>
      </c>
      <c r="E228" s="362"/>
      <c r="F228" s="364" t="s">
        <v>23</v>
      </c>
      <c r="G228" s="365" t="s">
        <v>23</v>
      </c>
      <c r="H228" s="366" t="s">
        <v>1478</v>
      </c>
      <c r="I228" s="367" t="s">
        <v>23</v>
      </c>
    </row>
    <row r="229" spans="1:9" ht="12.3">
      <c r="A229" s="406">
        <v>41507</v>
      </c>
      <c r="B229" s="414" t="s">
        <v>1975</v>
      </c>
      <c r="C229" s="363">
        <v>6.2</v>
      </c>
      <c r="D229" s="362">
        <v>35</v>
      </c>
      <c r="E229" s="362" t="s">
        <v>35</v>
      </c>
      <c r="F229" s="415" t="s">
        <v>23</v>
      </c>
      <c r="G229" s="416">
        <v>8</v>
      </c>
      <c r="H229" s="407">
        <v>3</v>
      </c>
      <c r="I229" s="367" t="s">
        <v>23</v>
      </c>
    </row>
    <row r="230" spans="1:9" ht="12.3">
      <c r="A230" s="412"/>
      <c r="B230" s="354" t="s">
        <v>2027</v>
      </c>
      <c r="C230" s="363">
        <v>5</v>
      </c>
      <c r="D230" s="362">
        <v>11</v>
      </c>
      <c r="E230" s="362"/>
      <c r="F230" s="417" t="s">
        <v>23</v>
      </c>
      <c r="G230" s="357"/>
      <c r="H230" s="358"/>
      <c r="I230" s="367" t="s">
        <v>23</v>
      </c>
    </row>
    <row r="231" spans="1:9" ht="12.3">
      <c r="A231" s="361">
        <v>41508</v>
      </c>
      <c r="B231" s="362" t="s">
        <v>2017</v>
      </c>
      <c r="C231" s="363">
        <v>4.4000000000000004</v>
      </c>
      <c r="D231" s="362">
        <v>8</v>
      </c>
      <c r="E231" s="362" t="s">
        <v>684</v>
      </c>
      <c r="F231" s="417" t="s">
        <v>23</v>
      </c>
      <c r="G231" s="365" t="s">
        <v>23</v>
      </c>
      <c r="H231" s="366">
        <v>2</v>
      </c>
      <c r="I231" s="367" t="s">
        <v>23</v>
      </c>
    </row>
    <row r="232" spans="1:9" ht="12.3">
      <c r="A232" s="361">
        <v>41508</v>
      </c>
      <c r="B232" s="369" t="s">
        <v>1979</v>
      </c>
      <c r="C232" s="363">
        <v>4</v>
      </c>
      <c r="D232" s="362">
        <v>8</v>
      </c>
      <c r="E232" s="362"/>
      <c r="F232" s="417" t="s">
        <v>23</v>
      </c>
      <c r="G232" s="365" t="s">
        <v>23</v>
      </c>
      <c r="H232" s="366">
        <v>2</v>
      </c>
      <c r="I232" s="367" t="s">
        <v>23</v>
      </c>
    </row>
    <row r="233" spans="1:9" ht="12.3">
      <c r="A233" s="361">
        <v>41510</v>
      </c>
      <c r="B233" s="362" t="s">
        <v>165</v>
      </c>
      <c r="C233" s="363">
        <v>4.5999999999999996</v>
      </c>
      <c r="D233" s="362">
        <v>6</v>
      </c>
      <c r="E233" s="362"/>
      <c r="F233" s="417" t="s">
        <v>23</v>
      </c>
      <c r="G233" s="365" t="s">
        <v>23</v>
      </c>
      <c r="H233" s="366">
        <v>2</v>
      </c>
      <c r="I233" s="367" t="s">
        <v>23</v>
      </c>
    </row>
    <row r="234" spans="1:9" ht="12.3">
      <c r="A234" s="406">
        <v>41513</v>
      </c>
      <c r="B234" s="369" t="s">
        <v>1526</v>
      </c>
      <c r="C234" s="363">
        <v>5.0999999999999996</v>
      </c>
      <c r="D234" s="362">
        <v>9</v>
      </c>
      <c r="E234" s="362"/>
      <c r="F234" s="417" t="s">
        <v>23</v>
      </c>
      <c r="G234" s="416" t="s">
        <v>23</v>
      </c>
      <c r="H234" s="407">
        <v>4</v>
      </c>
      <c r="I234" s="367" t="s">
        <v>23</v>
      </c>
    </row>
    <row r="235" spans="1:9" ht="12.3">
      <c r="A235" s="412"/>
      <c r="B235" s="362" t="s">
        <v>2028</v>
      </c>
      <c r="C235" s="363">
        <v>4.4000000000000004</v>
      </c>
      <c r="D235" s="362">
        <v>8</v>
      </c>
      <c r="E235" s="362"/>
      <c r="F235" s="417" t="s">
        <v>23</v>
      </c>
      <c r="G235" s="357"/>
      <c r="H235" s="358"/>
      <c r="I235" s="367" t="s">
        <v>23</v>
      </c>
    </row>
    <row r="236" spans="1:9" ht="12.3">
      <c r="A236" s="361">
        <v>41513</v>
      </c>
      <c r="B236" s="369" t="s">
        <v>378</v>
      </c>
      <c r="C236" s="363">
        <v>4.5999999999999996</v>
      </c>
      <c r="D236" s="362">
        <v>17</v>
      </c>
      <c r="E236" s="362"/>
      <c r="F236" s="417" t="s">
        <v>23</v>
      </c>
      <c r="G236" s="365" t="s">
        <v>23</v>
      </c>
      <c r="H236" s="366">
        <v>3</v>
      </c>
      <c r="I236" s="367" t="s">
        <v>23</v>
      </c>
    </row>
    <row r="237" spans="1:9" ht="12.3">
      <c r="A237" s="361">
        <v>41513</v>
      </c>
      <c r="B237" s="362" t="s">
        <v>1769</v>
      </c>
      <c r="C237" s="363">
        <v>4.5999999999999996</v>
      </c>
      <c r="D237" s="362">
        <v>14</v>
      </c>
      <c r="E237" s="362"/>
      <c r="F237" s="417" t="s">
        <v>23</v>
      </c>
      <c r="G237" s="365" t="s">
        <v>23</v>
      </c>
      <c r="H237" s="366">
        <v>1</v>
      </c>
      <c r="I237" s="367" t="s">
        <v>23</v>
      </c>
    </row>
    <row r="238" spans="1:9" ht="12.3">
      <c r="A238" s="361">
        <v>41514</v>
      </c>
      <c r="B238" s="369" t="s">
        <v>1128</v>
      </c>
      <c r="C238" s="363">
        <v>3.9</v>
      </c>
      <c r="D238" s="362">
        <v>2</v>
      </c>
      <c r="E238" s="362"/>
      <c r="F238" s="417" t="s">
        <v>23</v>
      </c>
      <c r="G238" s="365" t="s">
        <v>23</v>
      </c>
      <c r="H238" s="366">
        <v>2</v>
      </c>
      <c r="I238" s="367" t="s">
        <v>23</v>
      </c>
    </row>
    <row r="239" spans="1:9" ht="12.3">
      <c r="A239" s="361">
        <v>41514</v>
      </c>
      <c r="B239" s="362" t="s">
        <v>2029</v>
      </c>
      <c r="C239" s="363" t="s">
        <v>1717</v>
      </c>
      <c r="D239" s="362">
        <v>4</v>
      </c>
      <c r="E239" s="362"/>
      <c r="F239" s="417" t="s">
        <v>23</v>
      </c>
      <c r="G239" s="365" t="s">
        <v>23</v>
      </c>
      <c r="H239" s="366">
        <v>2</v>
      </c>
      <c r="I239" s="367" t="s">
        <v>23</v>
      </c>
    </row>
    <row r="240" spans="1:9" ht="12.3">
      <c r="A240" s="361">
        <v>41516</v>
      </c>
      <c r="B240" s="369" t="s">
        <v>1481</v>
      </c>
      <c r="C240" s="363">
        <v>5.0999999999999996</v>
      </c>
      <c r="D240" s="362">
        <v>12</v>
      </c>
      <c r="E240" s="362"/>
      <c r="F240" s="417" t="s">
        <v>23</v>
      </c>
      <c r="G240" s="365" t="s">
        <v>23</v>
      </c>
      <c r="H240" s="366" t="s">
        <v>1511</v>
      </c>
      <c r="I240" s="367" t="s">
        <v>23</v>
      </c>
    </row>
    <row r="241" spans="1:9" ht="12.3">
      <c r="A241" s="361">
        <v>41516</v>
      </c>
      <c r="B241" s="362" t="s">
        <v>1841</v>
      </c>
      <c r="C241" s="363" t="s">
        <v>479</v>
      </c>
      <c r="D241" s="362">
        <v>32</v>
      </c>
      <c r="E241" s="362" t="s">
        <v>123</v>
      </c>
      <c r="F241" s="417" t="s">
        <v>23</v>
      </c>
      <c r="G241" s="365" t="s">
        <v>23</v>
      </c>
      <c r="H241" s="366" t="s">
        <v>23</v>
      </c>
      <c r="I241" s="367" t="s">
        <v>1097</v>
      </c>
    </row>
    <row r="242" spans="1:9" ht="12.3">
      <c r="A242" s="361">
        <v>41516</v>
      </c>
      <c r="B242" s="369" t="s">
        <v>1583</v>
      </c>
      <c r="C242" s="363" t="s">
        <v>78</v>
      </c>
      <c r="D242" s="362">
        <v>9</v>
      </c>
      <c r="E242" s="362"/>
      <c r="F242" s="417" t="s">
        <v>23</v>
      </c>
      <c r="G242" s="365">
        <v>3</v>
      </c>
      <c r="H242" s="366">
        <v>1</v>
      </c>
      <c r="I242" s="367" t="s">
        <v>23</v>
      </c>
    </row>
    <row r="243" spans="1:9" ht="12.3">
      <c r="A243" s="371">
        <v>41517</v>
      </c>
      <c r="B243" s="372" t="s">
        <v>1526</v>
      </c>
      <c r="C243" s="373">
        <v>5.9</v>
      </c>
      <c r="D243" s="372">
        <v>10</v>
      </c>
      <c r="E243" s="372" t="s">
        <v>363</v>
      </c>
      <c r="F243" s="418">
        <v>3</v>
      </c>
      <c r="G243" s="375">
        <v>54</v>
      </c>
      <c r="H243" s="419" t="s">
        <v>1653</v>
      </c>
      <c r="I243" s="377" t="s">
        <v>23</v>
      </c>
    </row>
    <row r="244" spans="1:9" ht="12.3">
      <c r="A244" s="399" t="s">
        <v>1888</v>
      </c>
      <c r="B244" s="362" t="s">
        <v>2030</v>
      </c>
      <c r="C244" s="363" t="s">
        <v>2031</v>
      </c>
      <c r="D244" s="362"/>
      <c r="E244" s="362"/>
      <c r="F244" s="417" t="s">
        <v>23</v>
      </c>
      <c r="G244" s="365" t="s">
        <v>23</v>
      </c>
      <c r="H244" s="358"/>
      <c r="I244" s="367" t="s">
        <v>23</v>
      </c>
    </row>
    <row r="245" spans="1:9" ht="12.3">
      <c r="A245" s="361">
        <v>41518</v>
      </c>
      <c r="B245" s="362" t="s">
        <v>1878</v>
      </c>
      <c r="C245" s="363" t="s">
        <v>1652</v>
      </c>
      <c r="D245" s="362">
        <v>5</v>
      </c>
      <c r="E245" s="362" t="s">
        <v>134</v>
      </c>
      <c r="F245" s="417" t="s">
        <v>23</v>
      </c>
      <c r="G245" s="365" t="s">
        <v>23</v>
      </c>
      <c r="H245" s="366">
        <v>1</v>
      </c>
      <c r="I245" s="367" t="s">
        <v>23</v>
      </c>
    </row>
    <row r="246" spans="1:9" ht="12.3">
      <c r="A246" s="361">
        <v>41520</v>
      </c>
      <c r="B246" s="362" t="s">
        <v>1993</v>
      </c>
      <c r="C246" s="363">
        <v>4.4000000000000004</v>
      </c>
      <c r="D246" s="362"/>
      <c r="E246" s="362"/>
      <c r="F246" s="417" t="s">
        <v>23</v>
      </c>
      <c r="G246" s="365" t="s">
        <v>23</v>
      </c>
      <c r="H246" s="366">
        <v>2</v>
      </c>
      <c r="I246" s="367" t="s">
        <v>23</v>
      </c>
    </row>
    <row r="247" spans="1:9" ht="12.3">
      <c r="A247" s="361">
        <v>41520</v>
      </c>
      <c r="B247" s="362" t="s">
        <v>2032</v>
      </c>
      <c r="C247" s="363">
        <v>4.2</v>
      </c>
      <c r="D247" s="362">
        <v>16</v>
      </c>
      <c r="E247" s="362"/>
      <c r="F247" s="417" t="s">
        <v>23</v>
      </c>
      <c r="G247" s="365" t="s">
        <v>23</v>
      </c>
      <c r="H247" s="366">
        <v>2</v>
      </c>
      <c r="I247" s="367" t="s">
        <v>23</v>
      </c>
    </row>
    <row r="248" spans="1:9" ht="12.3">
      <c r="A248" s="361">
        <v>41520</v>
      </c>
      <c r="B248" s="369" t="s">
        <v>1979</v>
      </c>
      <c r="C248" s="363">
        <v>4.8</v>
      </c>
      <c r="D248" s="362">
        <v>10</v>
      </c>
      <c r="E248" s="362" t="s">
        <v>35</v>
      </c>
      <c r="F248" s="417" t="s">
        <v>23</v>
      </c>
      <c r="G248" s="365" t="s">
        <v>23</v>
      </c>
      <c r="H248" s="366">
        <v>3</v>
      </c>
      <c r="I248" s="367" t="s">
        <v>23</v>
      </c>
    </row>
    <row r="249" spans="1:9" ht="12.3">
      <c r="A249" s="361">
        <v>41521</v>
      </c>
      <c r="B249" s="362" t="s">
        <v>615</v>
      </c>
      <c r="C249" s="363" t="s">
        <v>1931</v>
      </c>
      <c r="D249" s="362">
        <v>3</v>
      </c>
      <c r="E249" s="362"/>
      <c r="F249" s="417" t="s">
        <v>23</v>
      </c>
      <c r="G249" s="365" t="s">
        <v>23</v>
      </c>
      <c r="H249" s="366" t="s">
        <v>1478</v>
      </c>
      <c r="I249" s="367" t="s">
        <v>23</v>
      </c>
    </row>
    <row r="250" spans="1:9" ht="12.3">
      <c r="A250" s="361">
        <v>41521</v>
      </c>
      <c r="B250" s="362" t="s">
        <v>1645</v>
      </c>
      <c r="C250" s="363"/>
      <c r="D250" s="362"/>
      <c r="E250" s="362"/>
      <c r="F250" s="417" t="s">
        <v>23</v>
      </c>
      <c r="G250" s="365" t="s">
        <v>23</v>
      </c>
      <c r="H250" s="366">
        <v>2</v>
      </c>
      <c r="I250" s="367" t="s">
        <v>23</v>
      </c>
    </row>
    <row r="251" spans="1:9" ht="12.3">
      <c r="A251" s="361">
        <v>41521</v>
      </c>
      <c r="B251" s="362" t="s">
        <v>2033</v>
      </c>
      <c r="C251" s="363">
        <v>5.0999999999999996</v>
      </c>
      <c r="D251" s="362"/>
      <c r="E251" s="362" t="s">
        <v>134</v>
      </c>
      <c r="F251" s="417" t="s">
        <v>23</v>
      </c>
      <c r="G251" s="365" t="s">
        <v>23</v>
      </c>
      <c r="H251" s="366" t="s">
        <v>1478</v>
      </c>
      <c r="I251" s="367" t="s">
        <v>23</v>
      </c>
    </row>
    <row r="252" spans="1:9" ht="12.3">
      <c r="A252" s="371">
        <v>41524</v>
      </c>
      <c r="B252" s="372" t="s">
        <v>403</v>
      </c>
      <c r="C252" s="373">
        <v>6.6</v>
      </c>
      <c r="D252" s="372">
        <v>67</v>
      </c>
      <c r="E252" s="372" t="s">
        <v>123</v>
      </c>
      <c r="F252" s="418">
        <v>1</v>
      </c>
      <c r="G252" s="375">
        <v>51</v>
      </c>
      <c r="H252" s="376" t="s">
        <v>1508</v>
      </c>
      <c r="I252" s="377" t="s">
        <v>23</v>
      </c>
    </row>
    <row r="253" spans="1:9" ht="12.3">
      <c r="A253" s="361">
        <v>41525</v>
      </c>
      <c r="B253" s="362" t="s">
        <v>2034</v>
      </c>
      <c r="C253" s="363">
        <v>4.7</v>
      </c>
      <c r="D253" s="362">
        <v>5</v>
      </c>
      <c r="E253" s="362" t="s">
        <v>134</v>
      </c>
      <c r="F253" s="417" t="s">
        <v>23</v>
      </c>
      <c r="G253" s="365" t="s">
        <v>23</v>
      </c>
      <c r="H253" s="366" t="s">
        <v>1478</v>
      </c>
      <c r="I253" s="367" t="s">
        <v>23</v>
      </c>
    </row>
    <row r="254" spans="1:9" ht="12.3">
      <c r="A254" s="361">
        <v>41532</v>
      </c>
      <c r="B254" s="362" t="s">
        <v>2029</v>
      </c>
      <c r="C254" s="363" t="s">
        <v>1489</v>
      </c>
      <c r="D254" s="362">
        <v>5</v>
      </c>
      <c r="E254" s="362"/>
      <c r="F254" s="417" t="s">
        <v>23</v>
      </c>
      <c r="G254" s="365" t="s">
        <v>23</v>
      </c>
      <c r="H254" s="366">
        <v>2</v>
      </c>
      <c r="I254" s="367" t="s">
        <v>23</v>
      </c>
    </row>
    <row r="255" spans="1:9" ht="12.3">
      <c r="A255" s="361">
        <v>41533</v>
      </c>
      <c r="B255" s="369" t="s">
        <v>156</v>
      </c>
      <c r="C255" s="363">
        <v>4.8</v>
      </c>
      <c r="D255" s="362">
        <v>10</v>
      </c>
      <c r="E255" s="362"/>
      <c r="F255" s="417" t="s">
        <v>23</v>
      </c>
      <c r="G255" s="365" t="s">
        <v>23</v>
      </c>
      <c r="H255" s="366" t="s">
        <v>1511</v>
      </c>
      <c r="I255" s="367" t="s">
        <v>23</v>
      </c>
    </row>
    <row r="256" spans="1:9" ht="12.3">
      <c r="A256" s="361">
        <v>41534</v>
      </c>
      <c r="B256" s="369" t="s">
        <v>1280</v>
      </c>
      <c r="C256" s="363">
        <v>5</v>
      </c>
      <c r="D256" s="362">
        <v>17</v>
      </c>
      <c r="E256" s="362"/>
      <c r="F256" s="417" t="s">
        <v>23</v>
      </c>
      <c r="G256" s="365" t="s">
        <v>23</v>
      </c>
      <c r="H256" s="366" t="s">
        <v>1511</v>
      </c>
      <c r="I256" s="367" t="s">
        <v>23</v>
      </c>
    </row>
    <row r="257" spans="1:9" ht="12.3">
      <c r="A257" s="361">
        <v>41534</v>
      </c>
      <c r="B257" s="369" t="s">
        <v>105</v>
      </c>
      <c r="C257" s="363">
        <v>5.0999999999999996</v>
      </c>
      <c r="D257" s="362">
        <v>8</v>
      </c>
      <c r="E257" s="362"/>
      <c r="F257" s="417" t="s">
        <v>23</v>
      </c>
      <c r="G257" s="365" t="s">
        <v>23</v>
      </c>
      <c r="H257" s="366" t="s">
        <v>1511</v>
      </c>
      <c r="I257" s="367" t="s">
        <v>23</v>
      </c>
    </row>
    <row r="258" spans="1:9" ht="12.3">
      <c r="A258" s="361">
        <v>41534</v>
      </c>
      <c r="B258" s="362" t="s">
        <v>1558</v>
      </c>
      <c r="C258" s="363" t="s">
        <v>1900</v>
      </c>
      <c r="D258" s="362">
        <v>1</v>
      </c>
      <c r="E258" s="362"/>
      <c r="F258" s="417" t="s">
        <v>23</v>
      </c>
      <c r="G258" s="365" t="s">
        <v>23</v>
      </c>
      <c r="H258" s="366" t="s">
        <v>1478</v>
      </c>
      <c r="I258" s="367" t="s">
        <v>23</v>
      </c>
    </row>
    <row r="259" spans="1:9" ht="12.3">
      <c r="A259" s="361">
        <v>41535</v>
      </c>
      <c r="B259" s="369" t="s">
        <v>105</v>
      </c>
      <c r="C259" s="363">
        <v>4.4000000000000004</v>
      </c>
      <c r="D259" s="362">
        <v>5</v>
      </c>
      <c r="E259" s="362"/>
      <c r="F259" s="417" t="s">
        <v>23</v>
      </c>
      <c r="G259" s="365">
        <v>1</v>
      </c>
      <c r="H259" s="366">
        <v>3</v>
      </c>
      <c r="I259" s="367" t="s">
        <v>23</v>
      </c>
    </row>
    <row r="260" spans="1:9" ht="12.3">
      <c r="A260" s="361">
        <v>41536</v>
      </c>
      <c r="B260" s="369" t="s">
        <v>1949</v>
      </c>
      <c r="C260" s="363">
        <v>5.8</v>
      </c>
      <c r="D260" s="362">
        <v>20</v>
      </c>
      <c r="E260" s="362" t="s">
        <v>2035</v>
      </c>
      <c r="F260" s="417" t="s">
        <v>23</v>
      </c>
      <c r="G260" s="365">
        <v>2</v>
      </c>
      <c r="H260" s="366">
        <v>1</v>
      </c>
      <c r="I260" s="367" t="s">
        <v>23</v>
      </c>
    </row>
    <row r="261" spans="1:9" ht="12.3">
      <c r="A261" s="361">
        <v>41536</v>
      </c>
      <c r="B261" s="369" t="s">
        <v>1706</v>
      </c>
      <c r="C261" s="363">
        <v>5.0999999999999996</v>
      </c>
      <c r="D261" s="362">
        <v>7</v>
      </c>
      <c r="E261" s="362"/>
      <c r="F261" s="417" t="s">
        <v>23</v>
      </c>
      <c r="G261" s="365">
        <v>1</v>
      </c>
      <c r="H261" s="366" t="s">
        <v>1511</v>
      </c>
      <c r="I261" s="367" t="s">
        <v>23</v>
      </c>
    </row>
    <row r="262" spans="1:9" ht="12.3">
      <c r="A262" s="361">
        <v>41537</v>
      </c>
      <c r="B262" s="362" t="s">
        <v>915</v>
      </c>
      <c r="C262" s="363">
        <v>4.3</v>
      </c>
      <c r="D262" s="362">
        <v>12</v>
      </c>
      <c r="E262" s="362" t="s">
        <v>134</v>
      </c>
      <c r="F262" s="417" t="s">
        <v>23</v>
      </c>
      <c r="G262" s="365" t="s">
        <v>23</v>
      </c>
      <c r="H262" s="366" t="s">
        <v>1478</v>
      </c>
      <c r="I262" s="367" t="s">
        <v>23</v>
      </c>
    </row>
    <row r="263" spans="1:9" ht="12.3">
      <c r="A263" s="361">
        <v>41537</v>
      </c>
      <c r="B263" s="369" t="s">
        <v>226</v>
      </c>
      <c r="C263" s="362">
        <v>5.7</v>
      </c>
      <c r="D263" s="362"/>
      <c r="E263" s="362"/>
      <c r="F263" s="417" t="s">
        <v>23</v>
      </c>
      <c r="G263" s="365" t="s">
        <v>23</v>
      </c>
      <c r="H263" s="366">
        <v>3</v>
      </c>
      <c r="I263" s="367" t="s">
        <v>23</v>
      </c>
    </row>
    <row r="264" spans="1:9" ht="12.3">
      <c r="A264" s="361">
        <v>41538</v>
      </c>
      <c r="B264" s="362" t="s">
        <v>1633</v>
      </c>
      <c r="C264" s="362"/>
      <c r="D264" s="362"/>
      <c r="E264" s="362"/>
      <c r="F264" s="417" t="s">
        <v>23</v>
      </c>
      <c r="G264" s="365" t="s">
        <v>23</v>
      </c>
      <c r="H264" s="366">
        <v>2</v>
      </c>
      <c r="I264" s="367" t="s">
        <v>23</v>
      </c>
    </row>
    <row r="265" spans="1:9" ht="12.3">
      <c r="A265" s="361">
        <v>41538</v>
      </c>
      <c r="B265" s="369" t="s">
        <v>2029</v>
      </c>
      <c r="C265" s="363" t="s">
        <v>2036</v>
      </c>
      <c r="D265" s="362">
        <v>3</v>
      </c>
      <c r="E265" s="362"/>
      <c r="F265" s="417" t="s">
        <v>23</v>
      </c>
      <c r="G265" s="365" t="s">
        <v>23</v>
      </c>
      <c r="H265" s="366">
        <v>2</v>
      </c>
      <c r="I265" s="367" t="s">
        <v>23</v>
      </c>
    </row>
    <row r="266" spans="1:9" ht="12.3">
      <c r="A266" s="361">
        <v>41538</v>
      </c>
      <c r="B266" s="362" t="s">
        <v>2037</v>
      </c>
      <c r="C266" s="363">
        <v>4.9000000000000004</v>
      </c>
      <c r="D266" s="362">
        <v>73</v>
      </c>
      <c r="E266" s="362"/>
      <c r="F266" s="417" t="s">
        <v>23</v>
      </c>
      <c r="G266" s="365" t="s">
        <v>23</v>
      </c>
      <c r="H266" s="366">
        <v>1</v>
      </c>
      <c r="I266" s="367" t="s">
        <v>23</v>
      </c>
    </row>
    <row r="267" spans="1:9" ht="12.3">
      <c r="A267" s="361">
        <v>41540</v>
      </c>
      <c r="B267" s="362" t="s">
        <v>2038</v>
      </c>
      <c r="C267" s="363">
        <v>2.4</v>
      </c>
      <c r="D267" s="362">
        <v>5</v>
      </c>
      <c r="E267" s="362" t="s">
        <v>684</v>
      </c>
      <c r="F267" s="417" t="s">
        <v>23</v>
      </c>
      <c r="G267" s="365" t="s">
        <v>23</v>
      </c>
      <c r="H267" s="366" t="s">
        <v>1478</v>
      </c>
      <c r="I267" s="367" t="s">
        <v>23</v>
      </c>
    </row>
    <row r="268" spans="1:9" ht="12.3">
      <c r="A268" s="361">
        <v>41540</v>
      </c>
      <c r="B268" s="362" t="s">
        <v>1471</v>
      </c>
      <c r="C268" s="363" t="s">
        <v>1572</v>
      </c>
      <c r="D268" s="362">
        <v>5</v>
      </c>
      <c r="E268" s="362" t="s">
        <v>684</v>
      </c>
      <c r="F268" s="417" t="s">
        <v>23</v>
      </c>
      <c r="G268" s="365" t="s">
        <v>23</v>
      </c>
      <c r="H268" s="366">
        <v>2</v>
      </c>
      <c r="I268" s="367" t="s">
        <v>23</v>
      </c>
    </row>
    <row r="269" spans="1:9" ht="12.3">
      <c r="A269" s="361">
        <v>41541</v>
      </c>
      <c r="B269" s="369" t="s">
        <v>1549</v>
      </c>
      <c r="C269" s="363"/>
      <c r="D269" s="362"/>
      <c r="E269" s="362"/>
      <c r="F269" s="417" t="s">
        <v>23</v>
      </c>
      <c r="G269" s="365" t="s">
        <v>23</v>
      </c>
      <c r="H269" s="366" t="s">
        <v>1511</v>
      </c>
      <c r="I269" s="367" t="s">
        <v>23</v>
      </c>
    </row>
    <row r="270" spans="1:9" ht="12.3">
      <c r="A270" s="371">
        <v>41541</v>
      </c>
      <c r="B270" s="372" t="s">
        <v>216</v>
      </c>
      <c r="C270" s="373">
        <v>7.7</v>
      </c>
      <c r="D270" s="372">
        <v>20</v>
      </c>
      <c r="E270" s="372" t="s">
        <v>363</v>
      </c>
      <c r="F270" s="418">
        <v>386</v>
      </c>
      <c r="G270" s="375">
        <v>816</v>
      </c>
      <c r="H270" s="376" t="s">
        <v>1163</v>
      </c>
      <c r="I270" s="377" t="s">
        <v>2039</v>
      </c>
    </row>
    <row r="271" spans="1:9" ht="12.3">
      <c r="A271" s="361">
        <v>41542</v>
      </c>
      <c r="B271" s="362" t="s">
        <v>2040</v>
      </c>
      <c r="C271" s="362">
        <v>3.5</v>
      </c>
      <c r="D271" s="362">
        <v>5</v>
      </c>
      <c r="E271" s="362"/>
      <c r="F271" s="417" t="s">
        <v>23</v>
      </c>
      <c r="G271" s="365" t="s">
        <v>23</v>
      </c>
      <c r="H271" s="366">
        <v>1</v>
      </c>
      <c r="I271" s="367" t="s">
        <v>23</v>
      </c>
    </row>
    <row r="272" spans="1:9" ht="12.3">
      <c r="A272" s="361">
        <v>41542</v>
      </c>
      <c r="B272" s="369" t="s">
        <v>1661</v>
      </c>
      <c r="C272" s="363">
        <v>6.9</v>
      </c>
      <c r="D272" s="362">
        <v>40</v>
      </c>
      <c r="E272" s="362" t="s">
        <v>1299</v>
      </c>
      <c r="F272" s="417" t="s">
        <v>23</v>
      </c>
      <c r="G272" s="365">
        <v>29</v>
      </c>
      <c r="H272" s="366" t="s">
        <v>1508</v>
      </c>
      <c r="I272" s="367" t="s">
        <v>23</v>
      </c>
    </row>
    <row r="273" spans="1:9" ht="12.3">
      <c r="A273" s="361">
        <v>41542</v>
      </c>
      <c r="B273" s="362" t="s">
        <v>512</v>
      </c>
      <c r="C273" s="362">
        <v>3.6</v>
      </c>
      <c r="D273" s="362"/>
      <c r="E273" s="362"/>
      <c r="F273" s="417" t="s">
        <v>23</v>
      </c>
      <c r="G273" s="365" t="s">
        <v>23</v>
      </c>
      <c r="H273" s="366" t="s">
        <v>1478</v>
      </c>
      <c r="I273" s="367" t="s">
        <v>23</v>
      </c>
    </row>
    <row r="274" spans="1:9" ht="12.3">
      <c r="A274" s="361">
        <v>41544</v>
      </c>
      <c r="B274" s="362" t="s">
        <v>1617</v>
      </c>
      <c r="C274" s="362">
        <v>4.5999999999999996</v>
      </c>
      <c r="D274" s="362"/>
      <c r="E274" s="362"/>
      <c r="F274" s="417" t="s">
        <v>23</v>
      </c>
      <c r="G274" s="365" t="s">
        <v>23</v>
      </c>
      <c r="H274" s="366" t="s">
        <v>1478</v>
      </c>
      <c r="I274" s="367" t="s">
        <v>23</v>
      </c>
    </row>
    <row r="275" spans="1:9" ht="12.3">
      <c r="A275" s="371">
        <v>41545</v>
      </c>
      <c r="B275" s="372" t="s">
        <v>2041</v>
      </c>
      <c r="C275" s="372">
        <v>7.2</v>
      </c>
      <c r="D275" s="372">
        <v>14</v>
      </c>
      <c r="E275" s="372" t="s">
        <v>123</v>
      </c>
      <c r="F275" s="418">
        <v>45</v>
      </c>
      <c r="G275" s="375">
        <v>150</v>
      </c>
      <c r="H275" s="376">
        <v>4</v>
      </c>
      <c r="I275" s="377" t="s">
        <v>23</v>
      </c>
    </row>
    <row r="276" spans="1:9" ht="12.3">
      <c r="A276" s="361">
        <v>41546</v>
      </c>
      <c r="B276" s="362" t="s">
        <v>2040</v>
      </c>
      <c r="C276" s="362">
        <v>3.9</v>
      </c>
      <c r="D276" s="362">
        <v>5</v>
      </c>
      <c r="E276" s="362" t="s">
        <v>684</v>
      </c>
      <c r="F276" s="417" t="s">
        <v>23</v>
      </c>
      <c r="G276" s="365" t="s">
        <v>23</v>
      </c>
      <c r="H276" s="366">
        <v>2</v>
      </c>
      <c r="I276" s="367" t="s">
        <v>23</v>
      </c>
    </row>
    <row r="277" spans="1:9" ht="12.3">
      <c r="A277" s="361">
        <v>41547</v>
      </c>
      <c r="B277" s="362" t="s">
        <v>2040</v>
      </c>
      <c r="C277" s="362">
        <v>3.7</v>
      </c>
      <c r="D277" s="362">
        <v>5</v>
      </c>
      <c r="E277" s="362"/>
      <c r="F277" s="417" t="s">
        <v>23</v>
      </c>
      <c r="G277" s="365" t="s">
        <v>23</v>
      </c>
      <c r="H277" s="366">
        <v>1</v>
      </c>
      <c r="I277" s="367" t="s">
        <v>23</v>
      </c>
    </row>
    <row r="278" spans="1:9" ht="12.3">
      <c r="A278" s="399" t="s">
        <v>2042</v>
      </c>
      <c r="B278" s="362" t="s">
        <v>1880</v>
      </c>
      <c r="C278" s="362"/>
      <c r="D278" s="362"/>
      <c r="E278" s="362"/>
      <c r="F278" s="417" t="s">
        <v>23</v>
      </c>
      <c r="G278" s="365" t="s">
        <v>23</v>
      </c>
      <c r="H278" s="366" t="s">
        <v>1478</v>
      </c>
      <c r="I278" s="367" t="s">
        <v>23</v>
      </c>
    </row>
    <row r="279" spans="1:9" ht="12.3">
      <c r="A279" s="361">
        <v>41549</v>
      </c>
      <c r="B279" s="362" t="s">
        <v>915</v>
      </c>
      <c r="C279" s="362">
        <v>4.2</v>
      </c>
      <c r="D279" s="362"/>
      <c r="E279" s="362"/>
      <c r="F279" s="417" t="s">
        <v>23</v>
      </c>
      <c r="G279" s="365" t="s">
        <v>23</v>
      </c>
      <c r="H279" s="366">
        <v>2</v>
      </c>
      <c r="I279" s="367" t="s">
        <v>23</v>
      </c>
    </row>
    <row r="280" spans="1:9" ht="12.3">
      <c r="A280" s="361">
        <v>41549</v>
      </c>
      <c r="B280" s="362" t="s">
        <v>2040</v>
      </c>
      <c r="C280" s="362">
        <v>3.6</v>
      </c>
      <c r="D280" s="362">
        <v>5</v>
      </c>
      <c r="E280" s="362"/>
      <c r="F280" s="417" t="s">
        <v>23</v>
      </c>
      <c r="G280" s="365" t="s">
        <v>23</v>
      </c>
      <c r="H280" s="366">
        <v>2</v>
      </c>
      <c r="I280" s="367" t="s">
        <v>23</v>
      </c>
    </row>
    <row r="281" spans="1:9" ht="12.3">
      <c r="A281" s="361">
        <v>41550</v>
      </c>
      <c r="B281" s="362" t="s">
        <v>2043</v>
      </c>
      <c r="C281" s="362">
        <v>5.3</v>
      </c>
      <c r="D281" s="362"/>
      <c r="E281" s="362"/>
      <c r="F281" s="417" t="s">
        <v>23</v>
      </c>
      <c r="G281" s="365" t="s">
        <v>23</v>
      </c>
      <c r="H281" s="366">
        <v>2</v>
      </c>
      <c r="I281" s="367" t="s">
        <v>23</v>
      </c>
    </row>
    <row r="282" spans="1:9" ht="12.3">
      <c r="A282" s="361">
        <v>41551</v>
      </c>
      <c r="B282" s="362" t="s">
        <v>1477</v>
      </c>
      <c r="C282" s="362">
        <v>4.5</v>
      </c>
      <c r="D282" s="362">
        <v>21</v>
      </c>
      <c r="E282" s="362"/>
      <c r="F282" s="417" t="s">
        <v>23</v>
      </c>
      <c r="G282" s="365" t="s">
        <v>23</v>
      </c>
      <c r="H282" s="366" t="s">
        <v>1478</v>
      </c>
      <c r="I282" s="367" t="s">
        <v>23</v>
      </c>
    </row>
    <row r="283" spans="1:9" ht="12.3">
      <c r="A283" s="361">
        <v>41551</v>
      </c>
      <c r="B283" s="369" t="s">
        <v>2040</v>
      </c>
      <c r="C283" s="362">
        <v>3.8</v>
      </c>
      <c r="D283" s="362">
        <v>5</v>
      </c>
      <c r="E283" s="362"/>
      <c r="F283" s="417" t="s">
        <v>23</v>
      </c>
      <c r="G283" s="365" t="s">
        <v>23</v>
      </c>
      <c r="H283" s="366">
        <v>2</v>
      </c>
      <c r="I283" s="367" t="s">
        <v>23</v>
      </c>
    </row>
    <row r="284" spans="1:9" ht="12.3">
      <c r="A284" s="361">
        <v>41551</v>
      </c>
      <c r="B284" s="362" t="s">
        <v>2044</v>
      </c>
      <c r="C284" s="362" t="s">
        <v>78</v>
      </c>
      <c r="D284" s="362">
        <v>9</v>
      </c>
      <c r="E284" s="362"/>
      <c r="F284" s="417" t="s">
        <v>23</v>
      </c>
      <c r="G284" s="365" t="s">
        <v>23</v>
      </c>
      <c r="H284" s="366">
        <v>2</v>
      </c>
      <c r="I284" s="367" t="s">
        <v>23</v>
      </c>
    </row>
    <row r="285" spans="1:9" ht="12.3">
      <c r="A285" s="361">
        <v>41553</v>
      </c>
      <c r="B285" s="362" t="s">
        <v>1700</v>
      </c>
      <c r="C285" s="362">
        <v>5.5</v>
      </c>
      <c r="D285" s="362">
        <v>134</v>
      </c>
      <c r="E285" s="362" t="s">
        <v>134</v>
      </c>
      <c r="F285" s="417" t="s">
        <v>23</v>
      </c>
      <c r="G285" s="365" t="s">
        <v>23</v>
      </c>
      <c r="H285" s="366" t="s">
        <v>1478</v>
      </c>
      <c r="I285" s="367" t="s">
        <v>23</v>
      </c>
    </row>
    <row r="286" spans="1:9" ht="12.3">
      <c r="A286" s="361">
        <v>41555</v>
      </c>
      <c r="B286" s="362" t="s">
        <v>1662</v>
      </c>
      <c r="C286" s="362">
        <v>4.8</v>
      </c>
      <c r="D286" s="362"/>
      <c r="E286" s="362"/>
      <c r="F286" s="417" t="s">
        <v>23</v>
      </c>
      <c r="G286" s="365" t="s">
        <v>23</v>
      </c>
      <c r="H286" s="366" t="s">
        <v>1478</v>
      </c>
      <c r="I286" s="367" t="s">
        <v>23</v>
      </c>
    </row>
    <row r="287" spans="1:9" ht="12.3">
      <c r="A287" s="361">
        <v>41555</v>
      </c>
      <c r="B287" s="362" t="s">
        <v>2045</v>
      </c>
      <c r="C287" s="362">
        <v>4.2</v>
      </c>
      <c r="D287" s="362">
        <v>8</v>
      </c>
      <c r="E287" s="362"/>
      <c r="F287" s="417" t="s">
        <v>23</v>
      </c>
      <c r="G287" s="365" t="s">
        <v>23</v>
      </c>
      <c r="H287" s="366" t="s">
        <v>1478</v>
      </c>
      <c r="I287" s="367" t="s">
        <v>23</v>
      </c>
    </row>
    <row r="288" spans="1:9" ht="12.3">
      <c r="A288" s="361">
        <v>41557</v>
      </c>
      <c r="B288" s="362" t="s">
        <v>445</v>
      </c>
      <c r="C288" s="362">
        <v>4.0999999999999996</v>
      </c>
      <c r="D288" s="362"/>
      <c r="E288" s="362"/>
      <c r="F288" s="417" t="s">
        <v>23</v>
      </c>
      <c r="G288" s="365" t="s">
        <v>23</v>
      </c>
      <c r="H288" s="366">
        <v>2</v>
      </c>
      <c r="I288" s="367" t="s">
        <v>23</v>
      </c>
    </row>
    <row r="289" spans="1:9" ht="12.3">
      <c r="A289" s="361">
        <v>41559</v>
      </c>
      <c r="B289" s="362" t="s">
        <v>2046</v>
      </c>
      <c r="C289" s="362">
        <v>5.6</v>
      </c>
      <c r="D289" s="362">
        <v>74</v>
      </c>
      <c r="E289" s="362" t="s">
        <v>35</v>
      </c>
      <c r="F289" s="417" t="s">
        <v>23</v>
      </c>
      <c r="G289" s="365" t="s">
        <v>23</v>
      </c>
      <c r="H289" s="366">
        <v>2</v>
      </c>
      <c r="I289" s="367" t="s">
        <v>23</v>
      </c>
    </row>
    <row r="290" spans="1:9" ht="12.3">
      <c r="A290" s="361">
        <v>41559</v>
      </c>
      <c r="B290" s="369" t="s">
        <v>1598</v>
      </c>
      <c r="C290" s="362">
        <v>6.4</v>
      </c>
      <c r="D290" s="362">
        <v>47</v>
      </c>
      <c r="E290" s="362" t="s">
        <v>35</v>
      </c>
      <c r="F290" s="417" t="s">
        <v>23</v>
      </c>
      <c r="G290" s="365">
        <v>1</v>
      </c>
      <c r="H290" s="366" t="s">
        <v>1511</v>
      </c>
      <c r="I290" s="367" t="s">
        <v>2047</v>
      </c>
    </row>
    <row r="291" spans="1:9" ht="12.3">
      <c r="A291" s="361">
        <v>41561</v>
      </c>
      <c r="B291" s="369" t="s">
        <v>1477</v>
      </c>
      <c r="C291" s="362">
        <v>4.3</v>
      </c>
      <c r="D291" s="362">
        <v>19</v>
      </c>
      <c r="E291" s="362"/>
      <c r="F291" s="417" t="s">
        <v>23</v>
      </c>
      <c r="G291" s="365">
        <v>1</v>
      </c>
      <c r="H291" s="366">
        <v>3</v>
      </c>
      <c r="I291" s="367" t="s">
        <v>23</v>
      </c>
    </row>
    <row r="292" spans="1:9" ht="12.3">
      <c r="A292" s="361">
        <v>41561</v>
      </c>
      <c r="B292" s="369" t="s">
        <v>2048</v>
      </c>
      <c r="C292" s="362">
        <v>4.2</v>
      </c>
      <c r="D292" s="362"/>
      <c r="E292" s="362"/>
      <c r="F292" s="417" t="s">
        <v>23</v>
      </c>
      <c r="G292" s="365">
        <v>2</v>
      </c>
      <c r="H292" s="366">
        <v>3</v>
      </c>
      <c r="I292" s="367" t="s">
        <v>23</v>
      </c>
    </row>
    <row r="293" spans="1:9" ht="12.3">
      <c r="A293" s="371">
        <v>41562</v>
      </c>
      <c r="B293" s="372" t="s">
        <v>2049</v>
      </c>
      <c r="C293" s="372">
        <v>7.1</v>
      </c>
      <c r="D293" s="372">
        <v>14</v>
      </c>
      <c r="E293" s="372" t="s">
        <v>687</v>
      </c>
      <c r="F293" s="418">
        <v>231</v>
      </c>
      <c r="G293" s="375">
        <v>975</v>
      </c>
      <c r="H293" s="376" t="s">
        <v>1163</v>
      </c>
      <c r="I293" s="377" t="s">
        <v>23</v>
      </c>
    </row>
    <row r="294" spans="1:9" ht="12.3">
      <c r="A294" s="399"/>
      <c r="B294" s="362" t="s">
        <v>2050</v>
      </c>
      <c r="C294" s="362" t="s">
        <v>2051</v>
      </c>
      <c r="D294" s="362"/>
      <c r="E294" s="362" t="s">
        <v>2052</v>
      </c>
      <c r="F294" s="417" t="s">
        <v>23</v>
      </c>
      <c r="G294" s="365" t="s">
        <v>23</v>
      </c>
      <c r="H294" s="366">
        <v>2</v>
      </c>
      <c r="I294" s="367" t="s">
        <v>23</v>
      </c>
    </row>
    <row r="295" spans="1:9" ht="12.3">
      <c r="A295" s="361">
        <v>41562</v>
      </c>
      <c r="B295" s="369" t="s">
        <v>1526</v>
      </c>
      <c r="C295" s="362">
        <v>4.2</v>
      </c>
      <c r="D295" s="362">
        <v>14</v>
      </c>
      <c r="E295" s="362"/>
      <c r="F295" s="417" t="s">
        <v>23</v>
      </c>
      <c r="G295" s="365" t="s">
        <v>23</v>
      </c>
      <c r="H295" s="366">
        <v>3</v>
      </c>
      <c r="I295" s="367" t="s">
        <v>23</v>
      </c>
    </row>
    <row r="296" spans="1:9" ht="12.3">
      <c r="A296" s="361">
        <v>41563</v>
      </c>
      <c r="B296" s="369" t="s">
        <v>2053</v>
      </c>
      <c r="C296" s="362">
        <v>4.7</v>
      </c>
      <c r="D296" s="362">
        <v>2</v>
      </c>
      <c r="E296" s="362"/>
      <c r="F296" s="417" t="s">
        <v>23</v>
      </c>
      <c r="G296" s="365">
        <v>1</v>
      </c>
      <c r="H296" s="366">
        <v>3</v>
      </c>
      <c r="I296" s="367" t="s">
        <v>23</v>
      </c>
    </row>
    <row r="297" spans="1:9" ht="12.3">
      <c r="A297" s="361">
        <v>41563</v>
      </c>
      <c r="B297" s="369" t="s">
        <v>1155</v>
      </c>
      <c r="C297" s="362">
        <v>5</v>
      </c>
      <c r="D297" s="362"/>
      <c r="E297" s="362"/>
      <c r="F297" s="417" t="s">
        <v>23</v>
      </c>
      <c r="G297" s="365" t="s">
        <v>23</v>
      </c>
      <c r="H297" s="366" t="s">
        <v>1511</v>
      </c>
      <c r="I297" s="367" t="s">
        <v>23</v>
      </c>
    </row>
    <row r="298" spans="1:9" ht="12.3">
      <c r="A298" s="361">
        <v>41564</v>
      </c>
      <c r="B298" s="362" t="s">
        <v>2054</v>
      </c>
      <c r="C298" s="362"/>
      <c r="D298" s="362"/>
      <c r="E298" s="362"/>
      <c r="F298" s="417" t="s">
        <v>23</v>
      </c>
      <c r="G298" s="365" t="s">
        <v>23</v>
      </c>
      <c r="H298" s="366" t="s">
        <v>1478</v>
      </c>
      <c r="I298" s="367" t="s">
        <v>23</v>
      </c>
    </row>
    <row r="299" spans="1:9" ht="12.3">
      <c r="A299" s="361">
        <v>41565</v>
      </c>
      <c r="B299" s="369" t="s">
        <v>2041</v>
      </c>
      <c r="C299" s="362">
        <v>4.9000000000000004</v>
      </c>
      <c r="D299" s="362"/>
      <c r="E299" s="362"/>
      <c r="F299" s="417" t="s">
        <v>23</v>
      </c>
      <c r="G299" s="365" t="s">
        <v>23</v>
      </c>
      <c r="H299" s="366">
        <v>3</v>
      </c>
      <c r="I299" s="367" t="s">
        <v>23</v>
      </c>
    </row>
    <row r="300" spans="1:9" ht="12.3">
      <c r="A300" s="361">
        <v>41565</v>
      </c>
      <c r="B300" s="362" t="s">
        <v>216</v>
      </c>
      <c r="C300" s="362">
        <v>5.3</v>
      </c>
      <c r="D300" s="362">
        <v>10</v>
      </c>
      <c r="E300" s="362"/>
      <c r="F300" s="417" t="s">
        <v>23</v>
      </c>
      <c r="G300" s="365" t="s">
        <v>23</v>
      </c>
      <c r="H300" s="366">
        <v>2</v>
      </c>
      <c r="I300" s="367" t="s">
        <v>23</v>
      </c>
    </row>
    <row r="301" spans="1:9" ht="12.3">
      <c r="A301" s="361">
        <v>41565</v>
      </c>
      <c r="B301" s="362" t="s">
        <v>350</v>
      </c>
      <c r="C301" s="362">
        <v>4.5</v>
      </c>
      <c r="D301" s="362">
        <v>26</v>
      </c>
      <c r="E301" s="362" t="s">
        <v>35</v>
      </c>
      <c r="F301" s="417" t="s">
        <v>23</v>
      </c>
      <c r="G301" s="365" t="s">
        <v>23</v>
      </c>
      <c r="H301" s="366">
        <v>2</v>
      </c>
      <c r="I301" s="367" t="s">
        <v>23</v>
      </c>
    </row>
    <row r="302" spans="1:9" ht="12.3">
      <c r="A302" s="361">
        <v>41566</v>
      </c>
      <c r="B302" s="362" t="s">
        <v>484</v>
      </c>
      <c r="C302" s="362">
        <v>3.3</v>
      </c>
      <c r="D302" s="362"/>
      <c r="E302" s="362"/>
      <c r="F302" s="417" t="s">
        <v>23</v>
      </c>
      <c r="G302" s="365" t="s">
        <v>23</v>
      </c>
      <c r="H302" s="366" t="s">
        <v>1478</v>
      </c>
      <c r="I302" s="367" t="s">
        <v>23</v>
      </c>
    </row>
    <row r="303" spans="1:9" ht="12.3">
      <c r="A303" s="361">
        <v>41566</v>
      </c>
      <c r="B303" s="362" t="s">
        <v>2055</v>
      </c>
      <c r="C303" s="362">
        <v>6.5</v>
      </c>
      <c r="D303" s="362">
        <v>8</v>
      </c>
      <c r="E303" s="362" t="s">
        <v>134</v>
      </c>
      <c r="F303" s="417" t="s">
        <v>23</v>
      </c>
      <c r="G303" s="365" t="s">
        <v>23</v>
      </c>
      <c r="H303" s="366" t="s">
        <v>1478</v>
      </c>
      <c r="I303" s="367" t="s">
        <v>23</v>
      </c>
    </row>
    <row r="304" spans="1:9" ht="12.3">
      <c r="A304" s="361">
        <v>41567</v>
      </c>
      <c r="B304" s="362" t="s">
        <v>599</v>
      </c>
      <c r="C304" s="362" t="s">
        <v>2056</v>
      </c>
      <c r="D304" s="362"/>
      <c r="E304" s="362"/>
      <c r="F304" s="417" t="s">
        <v>23</v>
      </c>
      <c r="G304" s="365" t="s">
        <v>1738</v>
      </c>
      <c r="H304" s="366" t="s">
        <v>1478</v>
      </c>
      <c r="I304" s="367" t="s">
        <v>23</v>
      </c>
    </row>
    <row r="305" spans="1:9" ht="12.3">
      <c r="A305" s="361">
        <v>41568</v>
      </c>
      <c r="B305" s="362" t="s">
        <v>2057</v>
      </c>
      <c r="C305" s="362">
        <v>4.4000000000000004</v>
      </c>
      <c r="D305" s="362"/>
      <c r="E305" s="362"/>
      <c r="F305" s="417" t="s">
        <v>23</v>
      </c>
      <c r="G305" s="365" t="s">
        <v>23</v>
      </c>
      <c r="H305" s="366" t="s">
        <v>1478</v>
      </c>
      <c r="I305" s="367" t="s">
        <v>23</v>
      </c>
    </row>
    <row r="306" spans="1:9" ht="12.3">
      <c r="A306" s="361">
        <v>41568</v>
      </c>
      <c r="B306" s="362" t="s">
        <v>1155</v>
      </c>
      <c r="C306" s="362">
        <v>4.7</v>
      </c>
      <c r="D306" s="362"/>
      <c r="E306" s="362"/>
      <c r="F306" s="417" t="s">
        <v>23</v>
      </c>
      <c r="G306" s="365" t="s">
        <v>23</v>
      </c>
      <c r="H306" s="366">
        <v>2</v>
      </c>
      <c r="I306" s="367" t="s">
        <v>23</v>
      </c>
    </row>
    <row r="307" spans="1:9" ht="12.3">
      <c r="A307" s="371">
        <v>41569</v>
      </c>
      <c r="B307" s="372" t="s">
        <v>1947</v>
      </c>
      <c r="C307" s="372">
        <v>5.6</v>
      </c>
      <c r="D307" s="372"/>
      <c r="E307" s="372" t="s">
        <v>35</v>
      </c>
      <c r="F307" s="418">
        <v>1</v>
      </c>
      <c r="G307" s="375">
        <v>3</v>
      </c>
      <c r="H307" s="376" t="s">
        <v>1511</v>
      </c>
      <c r="I307" s="377" t="s">
        <v>23</v>
      </c>
    </row>
    <row r="308" spans="1:9" ht="12.3">
      <c r="A308" s="361">
        <v>41569</v>
      </c>
      <c r="B308" s="362" t="s">
        <v>1518</v>
      </c>
      <c r="C308" s="362">
        <v>1.8</v>
      </c>
      <c r="D308" s="362">
        <v>6</v>
      </c>
      <c r="E308" s="362"/>
      <c r="F308" s="417" t="s">
        <v>23</v>
      </c>
      <c r="G308" s="365" t="s">
        <v>23</v>
      </c>
      <c r="H308" s="366">
        <v>1</v>
      </c>
      <c r="I308" s="367" t="s">
        <v>23</v>
      </c>
    </row>
    <row r="309" spans="1:9" ht="12.3">
      <c r="A309" s="361">
        <v>41572</v>
      </c>
      <c r="B309" s="362" t="s">
        <v>2058</v>
      </c>
      <c r="C309" s="362" t="s">
        <v>2059</v>
      </c>
      <c r="D309" s="362"/>
      <c r="E309" s="362"/>
      <c r="F309" s="417" t="s">
        <v>23</v>
      </c>
      <c r="G309" s="365" t="s">
        <v>23</v>
      </c>
      <c r="H309" s="366" t="s">
        <v>1478</v>
      </c>
      <c r="I309" s="367" t="s">
        <v>23</v>
      </c>
    </row>
    <row r="310" spans="1:9" ht="12.3">
      <c r="A310" s="361">
        <v>41572</v>
      </c>
      <c r="B310" s="362" t="s">
        <v>2060</v>
      </c>
      <c r="C310" s="362"/>
      <c r="D310" s="362"/>
      <c r="E310" s="362" t="s">
        <v>134</v>
      </c>
      <c r="F310" s="417" t="s">
        <v>23</v>
      </c>
      <c r="G310" s="365" t="s">
        <v>23</v>
      </c>
      <c r="H310" s="366">
        <v>1</v>
      </c>
      <c r="I310" s="367" t="s">
        <v>23</v>
      </c>
    </row>
    <row r="311" spans="1:9" ht="12.3">
      <c r="A311" s="361">
        <v>41572</v>
      </c>
      <c r="B311" s="362" t="s">
        <v>1983</v>
      </c>
      <c r="C311" s="362">
        <v>7.1</v>
      </c>
      <c r="D311" s="362">
        <v>20</v>
      </c>
      <c r="E311" s="362"/>
      <c r="F311" s="417" t="s">
        <v>23</v>
      </c>
      <c r="G311" s="365">
        <v>1</v>
      </c>
      <c r="H311" s="366">
        <v>1</v>
      </c>
      <c r="I311" s="367" t="s">
        <v>2061</v>
      </c>
    </row>
    <row r="312" spans="1:9" ht="12.3">
      <c r="A312" s="361">
        <v>41572</v>
      </c>
      <c r="B312" s="362" t="s">
        <v>1280</v>
      </c>
      <c r="C312" s="362">
        <v>3.5</v>
      </c>
      <c r="D312" s="362"/>
      <c r="E312" s="362"/>
      <c r="F312" s="417" t="s">
        <v>23</v>
      </c>
      <c r="G312" s="365" t="s">
        <v>23</v>
      </c>
      <c r="H312" s="366">
        <v>2</v>
      </c>
      <c r="I312" s="367" t="s">
        <v>23</v>
      </c>
    </row>
    <row r="313" spans="1:9" ht="12.3">
      <c r="A313" s="361">
        <v>41574</v>
      </c>
      <c r="B313" s="362" t="s">
        <v>591</v>
      </c>
      <c r="C313" s="362">
        <v>5.4</v>
      </c>
      <c r="D313" s="362"/>
      <c r="E313" s="362"/>
      <c r="F313" s="417" t="s">
        <v>23</v>
      </c>
      <c r="G313" s="365">
        <v>1</v>
      </c>
      <c r="H313" s="366" t="s">
        <v>23</v>
      </c>
      <c r="I313" s="367" t="s">
        <v>23</v>
      </c>
    </row>
    <row r="314" spans="1:9" ht="12.3">
      <c r="A314" s="361">
        <v>41575</v>
      </c>
      <c r="B314" s="362" t="s">
        <v>2062</v>
      </c>
      <c r="C314" s="362"/>
      <c r="D314" s="362"/>
      <c r="E314" s="362"/>
      <c r="F314" s="417" t="s">
        <v>23</v>
      </c>
      <c r="G314" s="365" t="s">
        <v>23</v>
      </c>
      <c r="H314" s="366">
        <v>2</v>
      </c>
      <c r="I314" s="367" t="s">
        <v>23</v>
      </c>
    </row>
    <row r="315" spans="1:9" ht="12.3">
      <c r="A315" s="361">
        <v>41577</v>
      </c>
      <c r="B315" s="369" t="s">
        <v>1526</v>
      </c>
      <c r="C315" s="362" t="s">
        <v>486</v>
      </c>
      <c r="D315" s="362">
        <v>10</v>
      </c>
      <c r="E315" s="362"/>
      <c r="F315" s="417" t="s">
        <v>23</v>
      </c>
      <c r="G315" s="365" t="s">
        <v>23</v>
      </c>
      <c r="H315" s="397">
        <v>3</v>
      </c>
      <c r="I315" s="367" t="s">
        <v>23</v>
      </c>
    </row>
    <row r="316" spans="1:9" ht="12.3">
      <c r="A316" s="361">
        <v>41578</v>
      </c>
      <c r="B316" s="362" t="s">
        <v>2063</v>
      </c>
      <c r="C316" s="362">
        <v>5.4</v>
      </c>
      <c r="D316" s="362"/>
      <c r="E316" s="362"/>
      <c r="F316" s="417" t="s">
        <v>23</v>
      </c>
      <c r="G316" s="365" t="s">
        <v>23</v>
      </c>
      <c r="H316" s="366">
        <v>2</v>
      </c>
      <c r="I316" s="367" t="s">
        <v>23</v>
      </c>
    </row>
    <row r="317" spans="1:9" ht="12.3">
      <c r="A317" s="361">
        <v>41578</v>
      </c>
      <c r="B317" s="362" t="s">
        <v>2064</v>
      </c>
      <c r="C317" s="362">
        <v>3.7</v>
      </c>
      <c r="D317" s="362">
        <v>0</v>
      </c>
      <c r="E317" s="362"/>
      <c r="F317" s="417" t="s">
        <v>23</v>
      </c>
      <c r="G317" s="365" t="s">
        <v>23</v>
      </c>
      <c r="H317" s="366">
        <v>1</v>
      </c>
      <c r="I317" s="367" t="s">
        <v>23</v>
      </c>
    </row>
    <row r="318" spans="1:9" ht="12.3">
      <c r="A318" s="361">
        <v>41578</v>
      </c>
      <c r="B318" s="369" t="s">
        <v>2065</v>
      </c>
      <c r="C318" s="362">
        <v>5.5</v>
      </c>
      <c r="D318" s="362">
        <v>8</v>
      </c>
      <c r="E318" s="362"/>
      <c r="F318" s="417" t="s">
        <v>23</v>
      </c>
      <c r="G318" s="365">
        <v>13</v>
      </c>
      <c r="H318" s="397" t="s">
        <v>1508</v>
      </c>
      <c r="I318" s="367" t="s">
        <v>23</v>
      </c>
    </row>
    <row r="319" spans="1:9" ht="12.3">
      <c r="A319" s="361">
        <v>41578</v>
      </c>
      <c r="B319" s="369" t="s">
        <v>570</v>
      </c>
      <c r="C319" s="362">
        <v>6.3</v>
      </c>
      <c r="D319" s="362">
        <v>8</v>
      </c>
      <c r="E319" s="362" t="s">
        <v>123</v>
      </c>
      <c r="F319" s="417" t="s">
        <v>23</v>
      </c>
      <c r="G319" s="365">
        <v>2</v>
      </c>
      <c r="H319" s="397">
        <v>2</v>
      </c>
      <c r="I319" s="367" t="s">
        <v>23</v>
      </c>
    </row>
    <row r="320" spans="1:9" ht="12.3">
      <c r="A320" s="361">
        <v>41578</v>
      </c>
      <c r="B320" s="362" t="s">
        <v>1580</v>
      </c>
      <c r="C320" s="362">
        <v>3.5</v>
      </c>
      <c r="D320" s="362">
        <v>3</v>
      </c>
      <c r="E320" s="362"/>
      <c r="F320" s="356" t="s">
        <v>23</v>
      </c>
      <c r="G320" s="365" t="s">
        <v>23</v>
      </c>
      <c r="H320" s="366">
        <v>1</v>
      </c>
      <c r="I320" s="367" t="s">
        <v>23</v>
      </c>
    </row>
    <row r="321" spans="1:9" ht="12.3">
      <c r="A321" s="361">
        <v>41578</v>
      </c>
      <c r="B321" s="362" t="s">
        <v>2066</v>
      </c>
      <c r="C321" s="362">
        <v>6.5</v>
      </c>
      <c r="D321" s="362">
        <v>34</v>
      </c>
      <c r="E321" s="362" t="s">
        <v>134</v>
      </c>
      <c r="F321" s="364" t="s">
        <v>23</v>
      </c>
      <c r="G321" s="365" t="s">
        <v>23</v>
      </c>
      <c r="H321" s="366">
        <v>1</v>
      </c>
      <c r="I321" s="367" t="s">
        <v>23</v>
      </c>
    </row>
    <row r="322" spans="1:9" ht="12.3">
      <c r="A322" s="361">
        <v>41581</v>
      </c>
      <c r="B322" s="369" t="s">
        <v>2067</v>
      </c>
      <c r="C322" s="362">
        <v>4.5</v>
      </c>
      <c r="D322" s="362">
        <v>10</v>
      </c>
      <c r="E322" s="362"/>
      <c r="F322" s="364" t="s">
        <v>23</v>
      </c>
      <c r="G322" s="365">
        <v>2</v>
      </c>
      <c r="H322" s="366" t="s">
        <v>1511</v>
      </c>
      <c r="I322" s="367" t="s">
        <v>23</v>
      </c>
    </row>
    <row r="323" spans="1:9" ht="12.3">
      <c r="A323" s="371">
        <v>41581</v>
      </c>
      <c r="B323" s="372" t="s">
        <v>2067</v>
      </c>
      <c r="C323" s="372">
        <v>4.2</v>
      </c>
      <c r="D323" s="372">
        <v>8</v>
      </c>
      <c r="E323" s="372"/>
      <c r="F323" s="374">
        <v>1</v>
      </c>
      <c r="G323" s="375">
        <v>2</v>
      </c>
      <c r="H323" s="376">
        <v>2</v>
      </c>
      <c r="I323" s="377" t="s">
        <v>23</v>
      </c>
    </row>
    <row r="324" spans="1:9" ht="12.3">
      <c r="A324" s="361">
        <v>41583</v>
      </c>
      <c r="B324" s="362" t="s">
        <v>1552</v>
      </c>
      <c r="C324" s="362">
        <v>4.0999999999999996</v>
      </c>
      <c r="D324" s="362"/>
      <c r="E324" s="362"/>
      <c r="F324" s="364" t="s">
        <v>23</v>
      </c>
      <c r="G324" s="365" t="s">
        <v>23</v>
      </c>
      <c r="H324" s="366" t="s">
        <v>1478</v>
      </c>
      <c r="I324" s="367" t="s">
        <v>23</v>
      </c>
    </row>
    <row r="325" spans="1:9" ht="12.3">
      <c r="A325" s="361">
        <v>41583</v>
      </c>
      <c r="B325" s="362" t="s">
        <v>1471</v>
      </c>
      <c r="C325" s="362">
        <v>3.8</v>
      </c>
      <c r="D325" s="362">
        <v>6</v>
      </c>
      <c r="E325" s="362" t="s">
        <v>134</v>
      </c>
      <c r="F325" s="364" t="s">
        <v>23</v>
      </c>
      <c r="G325" s="365" t="s">
        <v>23</v>
      </c>
      <c r="H325" s="366">
        <v>2</v>
      </c>
      <c r="I325" s="367" t="s">
        <v>23</v>
      </c>
    </row>
    <row r="326" spans="1:9" ht="12.3">
      <c r="A326" s="361">
        <v>41584</v>
      </c>
      <c r="B326" s="369" t="s">
        <v>1831</v>
      </c>
      <c r="C326" s="362">
        <v>5.5</v>
      </c>
      <c r="D326" s="362"/>
      <c r="E326" s="362"/>
      <c r="F326" s="364" t="s">
        <v>23</v>
      </c>
      <c r="G326" s="365">
        <v>6</v>
      </c>
      <c r="H326" s="397" t="s">
        <v>1511</v>
      </c>
      <c r="I326" s="367" t="s">
        <v>23</v>
      </c>
    </row>
    <row r="327" spans="1:9" ht="12.3">
      <c r="A327" s="361">
        <v>41584</v>
      </c>
      <c r="B327" s="362" t="s">
        <v>1893</v>
      </c>
      <c r="C327" s="362"/>
      <c r="D327" s="362"/>
      <c r="E327" s="362"/>
      <c r="F327" s="364" t="s">
        <v>23</v>
      </c>
      <c r="G327" s="365" t="s">
        <v>23</v>
      </c>
      <c r="H327" s="397" t="s">
        <v>1478</v>
      </c>
      <c r="I327" s="367" t="s">
        <v>23</v>
      </c>
    </row>
    <row r="328" spans="1:9" ht="12.3">
      <c r="A328" s="361">
        <v>41586</v>
      </c>
      <c r="B328" s="362" t="s">
        <v>1552</v>
      </c>
      <c r="C328" s="362">
        <v>4.5999999999999996</v>
      </c>
      <c r="D328" s="362">
        <v>8</v>
      </c>
      <c r="E328" s="362"/>
      <c r="F328" s="364" t="s">
        <v>23</v>
      </c>
      <c r="G328" s="365" t="s">
        <v>23</v>
      </c>
      <c r="H328" s="397" t="s">
        <v>1478</v>
      </c>
      <c r="I328" s="367" t="s">
        <v>23</v>
      </c>
    </row>
    <row r="329" spans="1:9" ht="12.3">
      <c r="A329" s="371">
        <v>41588</v>
      </c>
      <c r="B329" s="372" t="s">
        <v>1060</v>
      </c>
      <c r="C329" s="372">
        <v>5.2</v>
      </c>
      <c r="D329" s="372">
        <v>16</v>
      </c>
      <c r="E329" s="372"/>
      <c r="F329" s="374">
        <v>1</v>
      </c>
      <c r="G329" s="420">
        <v>12</v>
      </c>
      <c r="H329" s="376">
        <v>4</v>
      </c>
      <c r="I329" s="377" t="s">
        <v>23</v>
      </c>
    </row>
    <row r="330" spans="1:9" ht="12.3">
      <c r="A330" s="361">
        <v>41589</v>
      </c>
      <c r="B330" s="362" t="s">
        <v>2068</v>
      </c>
      <c r="C330" s="362" t="s">
        <v>2069</v>
      </c>
      <c r="D330" s="362"/>
      <c r="E330" s="362"/>
      <c r="F330" s="364" t="s">
        <v>23</v>
      </c>
      <c r="G330" s="365" t="s">
        <v>23</v>
      </c>
      <c r="H330" s="366" t="s">
        <v>1478</v>
      </c>
      <c r="I330" s="367" t="s">
        <v>23</v>
      </c>
    </row>
    <row r="331" spans="1:9" ht="12.3">
      <c r="A331" s="361">
        <v>41590</v>
      </c>
      <c r="B331" s="362" t="s">
        <v>156</v>
      </c>
      <c r="C331" s="362">
        <v>4.9000000000000004</v>
      </c>
      <c r="D331" s="362">
        <v>12</v>
      </c>
      <c r="E331" s="362"/>
      <c r="F331" s="364" t="s">
        <v>23</v>
      </c>
      <c r="G331" s="365" t="s">
        <v>23</v>
      </c>
      <c r="H331" s="366">
        <v>1</v>
      </c>
      <c r="I331" s="367" t="s">
        <v>23</v>
      </c>
    </row>
    <row r="332" spans="1:9" ht="12.3">
      <c r="A332" s="361">
        <v>41591</v>
      </c>
      <c r="B332" s="362" t="s">
        <v>165</v>
      </c>
      <c r="C332" s="362">
        <v>4.5</v>
      </c>
      <c r="D332" s="362"/>
      <c r="E332" s="362"/>
      <c r="F332" s="364" t="s">
        <v>23</v>
      </c>
      <c r="G332" s="365" t="s">
        <v>23</v>
      </c>
      <c r="H332" s="366" t="s">
        <v>1478</v>
      </c>
      <c r="I332" s="367" t="s">
        <v>23</v>
      </c>
    </row>
    <row r="333" spans="1:9" ht="12.3">
      <c r="A333" s="361">
        <v>41594</v>
      </c>
      <c r="B333" s="369" t="s">
        <v>1526</v>
      </c>
      <c r="C333" s="362">
        <v>4.5</v>
      </c>
      <c r="D333" s="362">
        <v>13</v>
      </c>
      <c r="E333" s="362"/>
      <c r="F333" s="364" t="s">
        <v>23</v>
      </c>
      <c r="G333" s="365" t="s">
        <v>23</v>
      </c>
      <c r="H333" s="366">
        <v>3</v>
      </c>
      <c r="I333" s="367" t="s">
        <v>23</v>
      </c>
    </row>
    <row r="334" spans="1:9" ht="12.3">
      <c r="A334" s="361">
        <v>41595</v>
      </c>
      <c r="B334" s="362" t="s">
        <v>2070</v>
      </c>
      <c r="C334" s="362">
        <v>7.8</v>
      </c>
      <c r="D334" s="362"/>
      <c r="E334" s="362" t="s">
        <v>363</v>
      </c>
      <c r="F334" s="364" t="s">
        <v>23</v>
      </c>
      <c r="G334" s="365" t="s">
        <v>23</v>
      </c>
      <c r="H334" s="366" t="s">
        <v>23</v>
      </c>
      <c r="I334" s="367" t="s">
        <v>1097</v>
      </c>
    </row>
    <row r="335" spans="1:9" ht="12.3">
      <c r="A335" s="361">
        <v>41596</v>
      </c>
      <c r="B335" s="362" t="s">
        <v>132</v>
      </c>
      <c r="C335" s="362">
        <v>4.9000000000000004</v>
      </c>
      <c r="D335" s="362">
        <v>4</v>
      </c>
      <c r="E335" s="362" t="s">
        <v>123</v>
      </c>
      <c r="F335" s="364" t="s">
        <v>23</v>
      </c>
      <c r="G335" s="365" t="s">
        <v>23</v>
      </c>
      <c r="H335" s="366">
        <v>2</v>
      </c>
      <c r="I335" s="367" t="s">
        <v>23</v>
      </c>
    </row>
    <row r="336" spans="1:9" ht="12.3">
      <c r="A336" s="361">
        <v>41596</v>
      </c>
      <c r="B336" s="362" t="s">
        <v>2071</v>
      </c>
      <c r="C336" s="362">
        <v>4.5</v>
      </c>
      <c r="D336" s="362">
        <v>3</v>
      </c>
      <c r="E336" s="362" t="s">
        <v>365</v>
      </c>
      <c r="F336" s="364" t="s">
        <v>23</v>
      </c>
      <c r="G336" s="365" t="s">
        <v>23</v>
      </c>
      <c r="H336" s="366" t="s">
        <v>1478</v>
      </c>
      <c r="I336" s="367" t="s">
        <v>23</v>
      </c>
    </row>
    <row r="337" spans="1:9" ht="12.3">
      <c r="A337" s="361">
        <v>41596</v>
      </c>
      <c r="B337" s="362" t="s">
        <v>2072</v>
      </c>
      <c r="C337" s="362">
        <v>4.5999999999999996</v>
      </c>
      <c r="D337" s="362"/>
      <c r="E337" s="362"/>
      <c r="F337" s="364" t="s">
        <v>23</v>
      </c>
      <c r="G337" s="365" t="s">
        <v>23</v>
      </c>
      <c r="H337" s="366" t="s">
        <v>1478</v>
      </c>
      <c r="I337" s="367" t="s">
        <v>23</v>
      </c>
    </row>
    <row r="338" spans="1:9" ht="12.3">
      <c r="A338" s="361">
        <v>41597</v>
      </c>
      <c r="B338" s="369" t="s">
        <v>1966</v>
      </c>
      <c r="C338" s="362">
        <v>4.7</v>
      </c>
      <c r="D338" s="362">
        <v>9</v>
      </c>
      <c r="E338" s="362"/>
      <c r="F338" s="364" t="s">
        <v>23</v>
      </c>
      <c r="G338" s="365">
        <v>1</v>
      </c>
      <c r="H338" s="366">
        <v>2</v>
      </c>
      <c r="I338" s="367" t="s">
        <v>23</v>
      </c>
    </row>
    <row r="339" spans="1:9" ht="12.3">
      <c r="A339" s="361">
        <v>41598</v>
      </c>
      <c r="B339" s="362" t="s">
        <v>1878</v>
      </c>
      <c r="C339" s="362" t="s">
        <v>1772</v>
      </c>
      <c r="D339" s="362"/>
      <c r="E339" s="362"/>
      <c r="F339" s="364" t="s">
        <v>23</v>
      </c>
      <c r="G339" s="365" t="s">
        <v>23</v>
      </c>
      <c r="H339" s="366" t="s">
        <v>1478</v>
      </c>
      <c r="I339" s="367" t="s">
        <v>23</v>
      </c>
    </row>
    <row r="340" spans="1:9" ht="12.3">
      <c r="A340" s="361">
        <v>41598</v>
      </c>
      <c r="B340" s="362" t="s">
        <v>2073</v>
      </c>
      <c r="C340" s="362">
        <v>3.5</v>
      </c>
      <c r="D340" s="362">
        <v>8</v>
      </c>
      <c r="E340" s="362"/>
      <c r="F340" s="364" t="s">
        <v>23</v>
      </c>
      <c r="G340" s="365" t="s">
        <v>23</v>
      </c>
      <c r="H340" s="366">
        <v>1</v>
      </c>
      <c r="I340" s="367" t="s">
        <v>23</v>
      </c>
    </row>
    <row r="341" spans="1:9" ht="12.3">
      <c r="A341" s="361">
        <v>41599</v>
      </c>
      <c r="B341" s="362" t="s">
        <v>512</v>
      </c>
      <c r="C341" s="362">
        <v>4.7</v>
      </c>
      <c r="D341" s="362">
        <v>7</v>
      </c>
      <c r="E341" s="362"/>
      <c r="F341" s="364" t="s">
        <v>23</v>
      </c>
      <c r="G341" s="365" t="s">
        <v>23</v>
      </c>
      <c r="H341" s="397" t="s">
        <v>1478</v>
      </c>
      <c r="I341" s="367" t="s">
        <v>23</v>
      </c>
    </row>
    <row r="342" spans="1:9" ht="12.3">
      <c r="A342" s="361">
        <v>41599</v>
      </c>
      <c r="B342" s="362" t="s">
        <v>2074</v>
      </c>
      <c r="C342" s="362">
        <v>3.8</v>
      </c>
      <c r="D342" s="362">
        <v>5</v>
      </c>
      <c r="E342" s="362"/>
      <c r="F342" s="364" t="s">
        <v>23</v>
      </c>
      <c r="G342" s="365" t="s">
        <v>23</v>
      </c>
      <c r="H342" s="366" t="s">
        <v>1478</v>
      </c>
      <c r="I342" s="367" t="s">
        <v>23</v>
      </c>
    </row>
    <row r="343" spans="1:9" ht="12.3">
      <c r="A343" s="361">
        <v>41599</v>
      </c>
      <c r="B343" s="362" t="s">
        <v>292</v>
      </c>
      <c r="C343" s="362">
        <v>4</v>
      </c>
      <c r="D343" s="362">
        <v>5</v>
      </c>
      <c r="E343" s="362" t="s">
        <v>134</v>
      </c>
      <c r="F343" s="364" t="s">
        <v>23</v>
      </c>
      <c r="G343" s="365" t="s">
        <v>23</v>
      </c>
      <c r="H343" s="366" t="s">
        <v>1478</v>
      </c>
      <c r="I343" s="367" t="s">
        <v>23</v>
      </c>
    </row>
    <row r="344" spans="1:9" ht="12.3">
      <c r="A344" s="361">
        <v>41599</v>
      </c>
      <c r="B344" s="362" t="s">
        <v>1477</v>
      </c>
      <c r="C344" s="362">
        <v>4.0999999999999996</v>
      </c>
      <c r="D344" s="362">
        <v>13</v>
      </c>
      <c r="E344" s="362"/>
      <c r="F344" s="364" t="s">
        <v>23</v>
      </c>
      <c r="G344" s="365" t="s">
        <v>23</v>
      </c>
      <c r="H344" s="366">
        <v>2</v>
      </c>
      <c r="I344" s="367" t="s">
        <v>23</v>
      </c>
    </row>
    <row r="345" spans="1:9" ht="12.3">
      <c r="A345" s="361">
        <v>41600</v>
      </c>
      <c r="B345" s="369" t="s">
        <v>1222</v>
      </c>
      <c r="C345" s="362">
        <v>5.4</v>
      </c>
      <c r="D345" s="362">
        <v>9</v>
      </c>
      <c r="E345" s="362"/>
      <c r="F345" s="364" t="s">
        <v>23</v>
      </c>
      <c r="G345" s="365">
        <v>1</v>
      </c>
      <c r="H345" s="397" t="s">
        <v>1511</v>
      </c>
      <c r="I345" s="367" t="s">
        <v>23</v>
      </c>
    </row>
    <row r="346" spans="1:9" ht="12.3">
      <c r="A346" s="361">
        <v>41600</v>
      </c>
      <c r="B346" s="369" t="s">
        <v>2065</v>
      </c>
      <c r="C346" s="362">
        <v>5.3</v>
      </c>
      <c r="D346" s="362">
        <v>8</v>
      </c>
      <c r="E346" s="362"/>
      <c r="F346" s="364" t="s">
        <v>23</v>
      </c>
      <c r="G346" s="365">
        <v>2</v>
      </c>
      <c r="H346" s="397" t="s">
        <v>1511</v>
      </c>
      <c r="I346" s="367" t="s">
        <v>23</v>
      </c>
    </row>
    <row r="347" spans="1:9" ht="12.3">
      <c r="A347" s="361">
        <v>41600</v>
      </c>
      <c r="B347" s="369" t="s">
        <v>2075</v>
      </c>
      <c r="C347" s="362">
        <v>5.6</v>
      </c>
      <c r="D347" s="362">
        <v>10</v>
      </c>
      <c r="E347" s="362" t="s">
        <v>123</v>
      </c>
      <c r="F347" s="364" t="s">
        <v>23</v>
      </c>
      <c r="G347" s="365">
        <v>15</v>
      </c>
      <c r="H347" s="397">
        <v>3</v>
      </c>
      <c r="I347" s="367" t="s">
        <v>23</v>
      </c>
    </row>
    <row r="348" spans="1:9" ht="12.3">
      <c r="A348" s="361">
        <v>41600</v>
      </c>
      <c r="B348" s="369" t="s">
        <v>2065</v>
      </c>
      <c r="C348" s="362">
        <v>5.8</v>
      </c>
      <c r="D348" s="362"/>
      <c r="E348" s="362" t="s">
        <v>123</v>
      </c>
      <c r="F348" s="364" t="s">
        <v>23</v>
      </c>
      <c r="G348" s="365">
        <v>13</v>
      </c>
      <c r="H348" s="397" t="s">
        <v>1508</v>
      </c>
      <c r="I348" s="367" t="s">
        <v>23</v>
      </c>
    </row>
    <row r="349" spans="1:9" ht="12.3">
      <c r="A349" s="361">
        <v>41601</v>
      </c>
      <c r="B349" s="362" t="s">
        <v>1553</v>
      </c>
      <c r="C349" s="362">
        <v>4.5999999999999996</v>
      </c>
      <c r="D349" s="362">
        <v>6</v>
      </c>
      <c r="E349" s="362"/>
      <c r="F349" s="364" t="s">
        <v>23</v>
      </c>
      <c r="G349" s="365" t="s">
        <v>23</v>
      </c>
      <c r="H349" s="397">
        <v>2</v>
      </c>
      <c r="I349" s="367" t="s">
        <v>23</v>
      </c>
    </row>
    <row r="350" spans="1:9" ht="12.3">
      <c r="A350" s="361">
        <v>41601</v>
      </c>
      <c r="B350" s="369" t="s">
        <v>2075</v>
      </c>
      <c r="C350" s="362">
        <v>5.2</v>
      </c>
      <c r="D350" s="362">
        <v>15</v>
      </c>
      <c r="E350" s="362"/>
      <c r="F350" s="364" t="s">
        <v>23</v>
      </c>
      <c r="G350" s="365">
        <v>4</v>
      </c>
      <c r="H350" s="366">
        <v>2</v>
      </c>
      <c r="I350" s="367" t="s">
        <v>23</v>
      </c>
    </row>
    <row r="351" spans="1:9" ht="12.3">
      <c r="A351" s="361">
        <v>41601</v>
      </c>
      <c r="B351" s="369" t="s">
        <v>1481</v>
      </c>
      <c r="C351" s="362">
        <v>5.6</v>
      </c>
      <c r="D351" s="362">
        <v>10</v>
      </c>
      <c r="E351" s="362"/>
      <c r="F351" s="364" t="s">
        <v>23</v>
      </c>
      <c r="G351" s="365" t="s">
        <v>23</v>
      </c>
      <c r="H351" s="366" t="s">
        <v>1508</v>
      </c>
      <c r="I351" s="367" t="s">
        <v>23</v>
      </c>
    </row>
    <row r="352" spans="1:9" ht="12.3">
      <c r="A352" s="361">
        <v>41602</v>
      </c>
      <c r="B352" s="369" t="s">
        <v>2075</v>
      </c>
      <c r="C352" s="363">
        <v>5.7</v>
      </c>
      <c r="D352" s="362">
        <v>10</v>
      </c>
      <c r="E352" s="362" t="s">
        <v>123</v>
      </c>
      <c r="F352" s="364" t="s">
        <v>23</v>
      </c>
      <c r="G352" s="365">
        <v>17</v>
      </c>
      <c r="H352" s="366" t="s">
        <v>1511</v>
      </c>
      <c r="I352" s="367" t="s">
        <v>23</v>
      </c>
    </row>
    <row r="353" spans="1:9" ht="12.3">
      <c r="A353" s="361">
        <v>41602</v>
      </c>
      <c r="B353" s="362" t="s">
        <v>105</v>
      </c>
      <c r="C353" s="363">
        <v>4.8</v>
      </c>
      <c r="D353" s="362">
        <v>7</v>
      </c>
      <c r="E353" s="362" t="s">
        <v>1364</v>
      </c>
      <c r="F353" s="364" t="s">
        <v>23</v>
      </c>
      <c r="G353" s="365">
        <v>14</v>
      </c>
      <c r="H353" s="366" t="s">
        <v>1478</v>
      </c>
      <c r="I353" s="367" t="s">
        <v>23</v>
      </c>
    </row>
    <row r="354" spans="1:9" ht="12.3">
      <c r="A354" s="361">
        <v>41603</v>
      </c>
      <c r="B354" s="362" t="s">
        <v>2076</v>
      </c>
      <c r="C354" s="362">
        <v>7</v>
      </c>
      <c r="D354" s="362"/>
      <c r="E354" s="362"/>
      <c r="F354" s="364" t="s">
        <v>23</v>
      </c>
      <c r="G354" s="365" t="s">
        <v>23</v>
      </c>
      <c r="H354" s="366">
        <v>1</v>
      </c>
      <c r="I354" s="367" t="s">
        <v>23</v>
      </c>
    </row>
    <row r="355" spans="1:9" ht="12.3">
      <c r="A355" s="361">
        <v>41603</v>
      </c>
      <c r="B355" s="362" t="s">
        <v>2077</v>
      </c>
      <c r="C355" s="362">
        <v>5.8</v>
      </c>
      <c r="D355" s="362">
        <v>60</v>
      </c>
      <c r="E355" s="362" t="s">
        <v>684</v>
      </c>
      <c r="F355" s="364" t="s">
        <v>23</v>
      </c>
      <c r="G355" s="365">
        <v>1</v>
      </c>
      <c r="H355" s="366">
        <v>1</v>
      </c>
      <c r="I355" s="367" t="s">
        <v>23</v>
      </c>
    </row>
    <row r="356" spans="1:9" ht="12.3">
      <c r="A356" s="361">
        <v>41605</v>
      </c>
      <c r="B356" s="362" t="s">
        <v>1662</v>
      </c>
      <c r="C356" s="362">
        <v>4.5999999999999996</v>
      </c>
      <c r="D356" s="362"/>
      <c r="E356" s="362"/>
      <c r="F356" s="364" t="s">
        <v>23</v>
      </c>
      <c r="G356" s="365" t="s">
        <v>23</v>
      </c>
      <c r="H356" s="366">
        <v>2</v>
      </c>
      <c r="I356" s="367" t="s">
        <v>23</v>
      </c>
    </row>
    <row r="357" spans="1:9" ht="12.3">
      <c r="A357" s="361">
        <v>41605</v>
      </c>
      <c r="B357" s="362" t="s">
        <v>1580</v>
      </c>
      <c r="C357" s="362">
        <v>3</v>
      </c>
      <c r="D357" s="362"/>
      <c r="E357" s="362"/>
      <c r="F357" s="364" t="s">
        <v>23</v>
      </c>
      <c r="G357" s="365" t="s">
        <v>23</v>
      </c>
      <c r="H357" s="366">
        <v>1</v>
      </c>
      <c r="I357" s="367" t="s">
        <v>23</v>
      </c>
    </row>
    <row r="358" spans="1:9" ht="12.3">
      <c r="A358" s="361">
        <v>41606</v>
      </c>
      <c r="B358" s="369" t="s">
        <v>1526</v>
      </c>
      <c r="C358" s="362">
        <v>4.7</v>
      </c>
      <c r="D358" s="362">
        <v>10</v>
      </c>
      <c r="E358" s="362"/>
      <c r="F358" s="364" t="s">
        <v>23</v>
      </c>
      <c r="G358" s="365">
        <v>13</v>
      </c>
      <c r="H358" s="366">
        <v>4</v>
      </c>
      <c r="I358" s="367" t="s">
        <v>23</v>
      </c>
    </row>
    <row r="359" spans="1:9" ht="12.3">
      <c r="A359" s="371">
        <v>41606</v>
      </c>
      <c r="B359" s="372" t="s">
        <v>1824</v>
      </c>
      <c r="C359" s="372">
        <v>5.7</v>
      </c>
      <c r="D359" s="372">
        <v>5</v>
      </c>
      <c r="E359" s="372"/>
      <c r="F359" s="374">
        <v>8</v>
      </c>
      <c r="G359" s="375">
        <v>209</v>
      </c>
      <c r="H359" s="376">
        <v>4</v>
      </c>
      <c r="I359" s="377" t="s">
        <v>23</v>
      </c>
    </row>
    <row r="360" spans="1:9" ht="12.3">
      <c r="A360" s="361">
        <v>41607</v>
      </c>
      <c r="B360" s="362" t="s">
        <v>1526</v>
      </c>
      <c r="C360" s="362">
        <v>4.5999999999999996</v>
      </c>
      <c r="D360" s="362">
        <v>10</v>
      </c>
      <c r="E360" s="362"/>
      <c r="F360" s="364" t="s">
        <v>23</v>
      </c>
      <c r="G360" s="365" t="s">
        <v>23</v>
      </c>
      <c r="H360" s="397" t="s">
        <v>1478</v>
      </c>
      <c r="I360" s="367" t="s">
        <v>23</v>
      </c>
    </row>
    <row r="361" spans="1:9" ht="12.3">
      <c r="A361" s="361">
        <v>41607</v>
      </c>
      <c r="B361" s="362" t="s">
        <v>1622</v>
      </c>
      <c r="C361" s="362">
        <v>4</v>
      </c>
      <c r="D361" s="362"/>
      <c r="E361" s="362"/>
      <c r="F361" s="364" t="s">
        <v>23</v>
      </c>
      <c r="G361" s="365" t="s">
        <v>23</v>
      </c>
      <c r="H361" s="366">
        <v>2</v>
      </c>
      <c r="I361" s="367" t="s">
        <v>23</v>
      </c>
    </row>
    <row r="362" spans="1:9" ht="12.3">
      <c r="A362" s="361">
        <v>41609</v>
      </c>
      <c r="B362" s="369" t="s">
        <v>1481</v>
      </c>
      <c r="C362" s="362">
        <v>5.3</v>
      </c>
      <c r="D362" s="362">
        <v>9</v>
      </c>
      <c r="E362" s="362"/>
      <c r="F362" s="364" t="s">
        <v>23</v>
      </c>
      <c r="G362" s="365" t="s">
        <v>23</v>
      </c>
      <c r="H362" s="366">
        <v>3</v>
      </c>
      <c r="I362" s="367" t="s">
        <v>23</v>
      </c>
    </row>
    <row r="363" spans="1:9" ht="12.3">
      <c r="A363" s="361">
        <v>41609</v>
      </c>
      <c r="B363" s="362" t="s">
        <v>1975</v>
      </c>
      <c r="C363" s="362">
        <v>5.2</v>
      </c>
      <c r="D363" s="362">
        <v>60</v>
      </c>
      <c r="E363" s="362"/>
      <c r="F363" s="364" t="s">
        <v>23</v>
      </c>
      <c r="G363" s="365" t="s">
        <v>23</v>
      </c>
      <c r="H363" s="366">
        <v>1</v>
      </c>
      <c r="I363" s="367" t="s">
        <v>23</v>
      </c>
    </row>
    <row r="364" spans="1:9" ht="12.3">
      <c r="A364" s="361">
        <v>41610</v>
      </c>
      <c r="B364" s="362" t="s">
        <v>1577</v>
      </c>
      <c r="C364" s="362">
        <v>4</v>
      </c>
      <c r="D364" s="362">
        <v>5</v>
      </c>
      <c r="E364" s="362" t="s">
        <v>684</v>
      </c>
      <c r="F364" s="364" t="s">
        <v>23</v>
      </c>
      <c r="G364" s="365" t="s">
        <v>23</v>
      </c>
      <c r="H364" s="366" t="s">
        <v>1478</v>
      </c>
      <c r="I364" s="367" t="s">
        <v>23</v>
      </c>
    </row>
    <row r="365" spans="1:9" ht="12.3">
      <c r="A365" s="361">
        <v>41612</v>
      </c>
      <c r="B365" s="362" t="s">
        <v>2078</v>
      </c>
      <c r="C365" s="362">
        <v>5.7</v>
      </c>
      <c r="D365" s="362">
        <v>37</v>
      </c>
      <c r="E365" s="362" t="s">
        <v>134</v>
      </c>
      <c r="F365" s="364" t="s">
        <v>23</v>
      </c>
      <c r="G365" s="365" t="s">
        <v>23</v>
      </c>
      <c r="H365" s="366" t="s">
        <v>1478</v>
      </c>
      <c r="I365" s="367" t="s">
        <v>23</v>
      </c>
    </row>
    <row r="366" spans="1:9" ht="12.3">
      <c r="A366" s="361">
        <v>41614</v>
      </c>
      <c r="B366" s="369" t="s">
        <v>2079</v>
      </c>
      <c r="C366" s="362">
        <v>4.8</v>
      </c>
      <c r="D366" s="362"/>
      <c r="E366" s="362"/>
      <c r="F366" s="364" t="s">
        <v>23</v>
      </c>
      <c r="G366" s="365" t="s">
        <v>23</v>
      </c>
      <c r="H366" s="366">
        <v>3</v>
      </c>
      <c r="I366" s="367" t="s">
        <v>23</v>
      </c>
    </row>
    <row r="367" spans="1:9" ht="12.3">
      <c r="A367" s="361">
        <v>41615</v>
      </c>
      <c r="B367" s="362" t="s">
        <v>1471</v>
      </c>
      <c r="C367" s="362">
        <v>4.5</v>
      </c>
      <c r="D367" s="362">
        <v>9</v>
      </c>
      <c r="E367" s="362" t="s">
        <v>134</v>
      </c>
      <c r="F367" s="364" t="s">
        <v>23</v>
      </c>
      <c r="G367" s="365" t="s">
        <v>23</v>
      </c>
      <c r="H367" s="366">
        <v>2</v>
      </c>
      <c r="I367" s="367" t="s">
        <v>23</v>
      </c>
    </row>
    <row r="368" spans="1:9" ht="12.3">
      <c r="A368" s="361">
        <v>41616</v>
      </c>
      <c r="B368" s="362" t="s">
        <v>1509</v>
      </c>
      <c r="C368" s="362"/>
      <c r="D368" s="362"/>
      <c r="E368" s="362"/>
      <c r="F368" s="364" t="s">
        <v>23</v>
      </c>
      <c r="G368" s="365" t="s">
        <v>23</v>
      </c>
      <c r="H368" s="366">
        <v>2</v>
      </c>
      <c r="I368" s="367" t="s">
        <v>23</v>
      </c>
    </row>
    <row r="369" spans="1:9" ht="12.3">
      <c r="A369" s="361">
        <v>41616</v>
      </c>
      <c r="B369" s="362" t="s">
        <v>2065</v>
      </c>
      <c r="C369" s="362">
        <v>4.3</v>
      </c>
      <c r="D369" s="362"/>
      <c r="E369" s="362"/>
      <c r="F369" s="364" t="s">
        <v>23</v>
      </c>
      <c r="G369" s="365" t="s">
        <v>23</v>
      </c>
      <c r="H369" s="366">
        <v>2</v>
      </c>
      <c r="I369" s="367" t="s">
        <v>23</v>
      </c>
    </row>
    <row r="370" spans="1:9" ht="12.3">
      <c r="A370" s="361">
        <v>41618</v>
      </c>
      <c r="B370" s="362" t="s">
        <v>1947</v>
      </c>
      <c r="C370" s="362">
        <v>5.5</v>
      </c>
      <c r="D370" s="362">
        <v>10</v>
      </c>
      <c r="E370" s="362"/>
      <c r="F370" s="364" t="s">
        <v>23</v>
      </c>
      <c r="G370" s="365" t="s">
        <v>23</v>
      </c>
      <c r="H370" s="366">
        <v>1</v>
      </c>
      <c r="I370" s="367" t="s">
        <v>23</v>
      </c>
    </row>
    <row r="371" spans="1:9" ht="12.3">
      <c r="A371" s="361">
        <v>41620</v>
      </c>
      <c r="B371" s="362" t="s">
        <v>2080</v>
      </c>
      <c r="C371" s="362">
        <v>4.5999999999999996</v>
      </c>
      <c r="D371" s="362">
        <v>7</v>
      </c>
      <c r="E371" s="362" t="s">
        <v>35</v>
      </c>
      <c r="F371" s="364" t="s">
        <v>23</v>
      </c>
      <c r="G371" s="365" t="s">
        <v>23</v>
      </c>
      <c r="H371" s="366">
        <v>1</v>
      </c>
      <c r="I371" s="367" t="s">
        <v>23</v>
      </c>
    </row>
    <row r="372" spans="1:9" ht="12.3">
      <c r="A372" s="361">
        <v>41620</v>
      </c>
      <c r="B372" s="362" t="s">
        <v>2081</v>
      </c>
      <c r="C372" s="362">
        <v>4.0999999999999996</v>
      </c>
      <c r="D372" s="362">
        <v>7</v>
      </c>
      <c r="E372" s="362"/>
      <c r="F372" s="364" t="s">
        <v>23</v>
      </c>
      <c r="G372" s="365" t="s">
        <v>23</v>
      </c>
      <c r="H372" s="366">
        <v>1</v>
      </c>
      <c r="I372" s="367" t="s">
        <v>23</v>
      </c>
    </row>
    <row r="373" spans="1:9" ht="12.3">
      <c r="A373" s="361">
        <v>41621</v>
      </c>
      <c r="B373" s="362" t="s">
        <v>2082</v>
      </c>
      <c r="C373" s="362">
        <v>5.9</v>
      </c>
      <c r="D373" s="362">
        <v>34</v>
      </c>
      <c r="E373" s="362"/>
      <c r="F373" s="364" t="s">
        <v>23</v>
      </c>
      <c r="G373" s="365" t="s">
        <v>23</v>
      </c>
      <c r="H373" s="366" t="s">
        <v>1478</v>
      </c>
      <c r="I373" s="367" t="s">
        <v>23</v>
      </c>
    </row>
    <row r="374" spans="1:9" ht="12.3">
      <c r="A374" s="361">
        <v>41621</v>
      </c>
      <c r="B374" s="362" t="s">
        <v>1647</v>
      </c>
      <c r="C374" s="362">
        <v>4.2</v>
      </c>
      <c r="D374" s="362">
        <v>22</v>
      </c>
      <c r="E374" s="362"/>
      <c r="F374" s="364" t="s">
        <v>23</v>
      </c>
      <c r="G374" s="365" t="s">
        <v>23</v>
      </c>
      <c r="H374" s="366">
        <v>1</v>
      </c>
      <c r="I374" s="367" t="s">
        <v>23</v>
      </c>
    </row>
    <row r="375" spans="1:9" ht="12.3">
      <c r="A375" s="361">
        <v>41624</v>
      </c>
      <c r="B375" s="369" t="s">
        <v>2038</v>
      </c>
      <c r="C375" s="362">
        <v>5.0999999999999996</v>
      </c>
      <c r="D375" s="362">
        <v>5</v>
      </c>
      <c r="E375" s="362"/>
      <c r="F375" s="364" t="s">
        <v>23</v>
      </c>
      <c r="G375" s="365">
        <v>6</v>
      </c>
      <c r="H375" s="366">
        <v>4</v>
      </c>
      <c r="I375" s="367" t="s">
        <v>23</v>
      </c>
    </row>
    <row r="376" spans="1:9" ht="12.3">
      <c r="A376" s="361">
        <v>41626</v>
      </c>
      <c r="B376" s="362" t="s">
        <v>1605</v>
      </c>
      <c r="C376" s="362">
        <v>3.9</v>
      </c>
      <c r="D376" s="362">
        <v>9</v>
      </c>
      <c r="E376" s="362"/>
      <c r="F376" s="364" t="s">
        <v>23</v>
      </c>
      <c r="G376" s="365" t="s">
        <v>23</v>
      </c>
      <c r="H376" s="366" t="s">
        <v>1478</v>
      </c>
      <c r="I376" s="367" t="s">
        <v>23</v>
      </c>
    </row>
    <row r="377" spans="1:9" ht="12.3">
      <c r="A377" s="361">
        <v>41626</v>
      </c>
      <c r="B377" s="369" t="s">
        <v>1893</v>
      </c>
      <c r="C377" s="362">
        <v>4.5</v>
      </c>
      <c r="D377" s="362">
        <v>5</v>
      </c>
      <c r="E377" s="362"/>
      <c r="F377" s="364" t="s">
        <v>23</v>
      </c>
      <c r="G377" s="365" t="s">
        <v>23</v>
      </c>
      <c r="H377" s="366">
        <v>3</v>
      </c>
      <c r="I377" s="367" t="s">
        <v>23</v>
      </c>
    </row>
    <row r="378" spans="1:9" ht="12.3">
      <c r="A378" s="361">
        <v>41627</v>
      </c>
      <c r="B378" s="362" t="s">
        <v>216</v>
      </c>
      <c r="C378" s="362">
        <v>5.6</v>
      </c>
      <c r="D378" s="362">
        <v>6</v>
      </c>
      <c r="E378" s="362" t="s">
        <v>123</v>
      </c>
      <c r="F378" s="364"/>
      <c r="G378" s="365"/>
      <c r="H378" s="366">
        <v>2</v>
      </c>
      <c r="I378" s="367" t="s">
        <v>23</v>
      </c>
    </row>
    <row r="379" spans="1:9" ht="12.3">
      <c r="A379" s="361">
        <v>41628</v>
      </c>
      <c r="B379" s="362" t="s">
        <v>2083</v>
      </c>
      <c r="C379" s="362">
        <v>5.2</v>
      </c>
      <c r="D379" s="362"/>
      <c r="E379" s="362"/>
      <c r="F379" s="364" t="s">
        <v>23</v>
      </c>
      <c r="G379" s="365" t="s">
        <v>23</v>
      </c>
      <c r="H379" s="366">
        <v>2</v>
      </c>
      <c r="I379" s="367" t="s">
        <v>23</v>
      </c>
    </row>
    <row r="380" spans="1:9" ht="12.3">
      <c r="A380" s="361">
        <v>41628</v>
      </c>
      <c r="B380" s="362" t="s">
        <v>1506</v>
      </c>
      <c r="C380" s="362">
        <v>3.8</v>
      </c>
      <c r="D380" s="362">
        <v>25</v>
      </c>
      <c r="E380" s="362"/>
      <c r="F380" s="364" t="s">
        <v>23</v>
      </c>
      <c r="G380" s="365" t="s">
        <v>23</v>
      </c>
      <c r="H380" s="366">
        <v>1</v>
      </c>
      <c r="I380" s="367" t="s">
        <v>23</v>
      </c>
    </row>
    <row r="381" spans="1:9" ht="12.3">
      <c r="A381" s="361">
        <v>41629</v>
      </c>
      <c r="B381" s="362" t="s">
        <v>2084</v>
      </c>
      <c r="C381" s="362">
        <v>5</v>
      </c>
      <c r="D381" s="362"/>
      <c r="E381" s="362" t="s">
        <v>35</v>
      </c>
      <c r="F381" s="364" t="s">
        <v>23</v>
      </c>
      <c r="G381" s="365" t="s">
        <v>23</v>
      </c>
      <c r="H381" s="366">
        <v>2</v>
      </c>
      <c r="I381" s="367" t="s">
        <v>23</v>
      </c>
    </row>
    <row r="382" spans="1:9" ht="12.3">
      <c r="A382" s="361">
        <v>41630</v>
      </c>
      <c r="B382" s="362" t="s">
        <v>1605</v>
      </c>
      <c r="C382" s="362">
        <v>4</v>
      </c>
      <c r="D382" s="362">
        <v>8</v>
      </c>
      <c r="E382" s="362" t="s">
        <v>1364</v>
      </c>
      <c r="F382" s="364" t="s">
        <v>23</v>
      </c>
      <c r="G382" s="365" t="s">
        <v>23</v>
      </c>
      <c r="H382" s="366" t="s">
        <v>1478</v>
      </c>
      <c r="I382" s="367" t="s">
        <v>23</v>
      </c>
    </row>
    <row r="383" spans="1:9" ht="12.3">
      <c r="A383" s="361">
        <v>41635</v>
      </c>
      <c r="B383" s="362" t="s">
        <v>1515</v>
      </c>
      <c r="C383" s="362">
        <v>3</v>
      </c>
      <c r="D383" s="362">
        <v>5</v>
      </c>
      <c r="E383" s="362"/>
      <c r="F383" s="364" t="s">
        <v>23</v>
      </c>
      <c r="G383" s="365" t="s">
        <v>23</v>
      </c>
      <c r="H383" s="366">
        <v>1</v>
      </c>
      <c r="I383" s="367" t="s">
        <v>23</v>
      </c>
    </row>
    <row r="384" spans="1:9" ht="12.3">
      <c r="A384" s="361">
        <v>41635</v>
      </c>
      <c r="B384" s="362" t="s">
        <v>2085</v>
      </c>
      <c r="C384" s="362">
        <v>5.0999999999999996</v>
      </c>
      <c r="D384" s="362">
        <v>15</v>
      </c>
      <c r="E384" s="362"/>
      <c r="F384" s="364" t="s">
        <v>23</v>
      </c>
      <c r="G384" s="365" t="s">
        <v>23</v>
      </c>
      <c r="H384" s="366">
        <v>1</v>
      </c>
      <c r="I384" s="367" t="s">
        <v>23</v>
      </c>
    </row>
    <row r="385" spans="1:9" ht="12.3">
      <c r="A385" s="361">
        <v>41636</v>
      </c>
      <c r="B385" s="362" t="s">
        <v>2083</v>
      </c>
      <c r="C385" s="362" t="s">
        <v>2059</v>
      </c>
      <c r="D385" s="362"/>
      <c r="E385" s="362"/>
      <c r="F385" s="364" t="s">
        <v>23</v>
      </c>
      <c r="G385" s="365" t="s">
        <v>23</v>
      </c>
      <c r="H385" s="366">
        <v>1</v>
      </c>
      <c r="I385" s="367" t="s">
        <v>23</v>
      </c>
    </row>
    <row r="386" spans="1:9" ht="12.3">
      <c r="A386" s="361">
        <v>41636</v>
      </c>
      <c r="B386" s="362" t="s">
        <v>2086</v>
      </c>
      <c r="C386" s="362">
        <v>6</v>
      </c>
      <c r="D386" s="362">
        <v>43</v>
      </c>
      <c r="E386" s="362" t="s">
        <v>684</v>
      </c>
      <c r="F386" s="364" t="s">
        <v>23</v>
      </c>
      <c r="G386" s="365" t="s">
        <v>23</v>
      </c>
      <c r="H386" s="366">
        <v>2</v>
      </c>
      <c r="I386" s="367" t="s">
        <v>23</v>
      </c>
    </row>
    <row r="387" spans="1:9" ht="12.3">
      <c r="A387" s="361">
        <v>41636</v>
      </c>
      <c r="B387" s="369" t="s">
        <v>1783</v>
      </c>
      <c r="C387" s="362">
        <v>4.7</v>
      </c>
      <c r="D387" s="362">
        <v>10</v>
      </c>
      <c r="E387" s="362"/>
      <c r="F387" s="364" t="s">
        <v>23</v>
      </c>
      <c r="G387" s="365" t="s">
        <v>23</v>
      </c>
      <c r="H387" s="366">
        <v>3</v>
      </c>
      <c r="I387" s="367" t="s">
        <v>23</v>
      </c>
    </row>
    <row r="388" spans="1:9" ht="12.3">
      <c r="A388" s="371">
        <v>41637</v>
      </c>
      <c r="B388" s="372" t="s">
        <v>2087</v>
      </c>
      <c r="C388" s="372">
        <v>4.9000000000000004</v>
      </c>
      <c r="D388" s="372">
        <v>11</v>
      </c>
      <c r="E388" s="372" t="s">
        <v>134</v>
      </c>
      <c r="F388" s="374">
        <v>1</v>
      </c>
      <c r="G388" s="420">
        <v>2</v>
      </c>
      <c r="H388" s="376">
        <v>2</v>
      </c>
      <c r="I388" s="377" t="s">
        <v>23</v>
      </c>
    </row>
    <row r="389" spans="1:9" ht="12.3">
      <c r="A389" s="361">
        <v>41639</v>
      </c>
      <c r="B389" s="362" t="s">
        <v>1949</v>
      </c>
      <c r="C389" s="362">
        <v>5.4</v>
      </c>
      <c r="D389" s="362">
        <v>10</v>
      </c>
      <c r="E389" s="362" t="s">
        <v>1503</v>
      </c>
      <c r="F389" s="364" t="s">
        <v>23</v>
      </c>
      <c r="G389" s="365">
        <v>1</v>
      </c>
      <c r="H389" s="366" t="s">
        <v>23</v>
      </c>
      <c r="I389" s="367" t="s">
        <v>23</v>
      </c>
    </row>
    <row r="390" spans="1:9" ht="12.3"/>
    <row r="391" spans="1:9" ht="12.3"/>
    <row r="392" spans="1:9" ht="12.3"/>
    <row r="393" spans="1:9" ht="12.3"/>
    <row r="394" spans="1:9" ht="12.3"/>
    <row r="395" spans="1:9" ht="12.3"/>
    <row r="396" spans="1:9" ht="12.3"/>
    <row r="397" spans="1:9" ht="12.3"/>
    <row r="398" spans="1:9" ht="12.3"/>
    <row r="399" spans="1:9" ht="12.3"/>
    <row r="400" spans="1:9" ht="12.3"/>
    <row r="401" ht="12.3"/>
    <row r="402" ht="12.3"/>
    <row r="403" ht="12.3"/>
    <row r="404" ht="12.3"/>
    <row r="405" ht="12.3"/>
    <row r="406" ht="12.3"/>
    <row r="407" ht="12.3"/>
    <row r="408" ht="12.3"/>
    <row r="409" ht="12.3"/>
    <row r="410" ht="12.3"/>
  </sheetData>
  <mergeCells count="2">
    <mergeCell ref="F197:F198"/>
    <mergeCell ref="G197:G198"/>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2E9501-4B2C-4C90-A84C-1EFE52A19FF4}">
  <sheetPr>
    <outlinePr summaryBelow="0" summaryRight="0"/>
  </sheetPr>
  <dimension ref="A1:I405"/>
  <sheetViews>
    <sheetView workbookViewId="0">
      <pane ySplit="1" topLeftCell="A2" activePane="bottomLeft" state="frozen"/>
      <selection pane="bottomLeft" activeCell="C29" sqref="C29"/>
    </sheetView>
    <sheetView topLeftCell="B1" workbookViewId="1">
      <selection activeCell="K8" sqref="K8"/>
    </sheetView>
  </sheetViews>
  <sheetFormatPr defaultColWidth="13.68359375" defaultRowHeight="12.75" customHeight="1"/>
  <cols>
    <col min="1" max="1" width="12.41796875" style="299" customWidth="1"/>
    <col min="2" max="2" width="40.05078125" style="299" customWidth="1"/>
    <col min="3" max="3" width="9.47265625" style="299" customWidth="1"/>
    <col min="4" max="4" width="7.578125" style="299" customWidth="1"/>
    <col min="5" max="5" width="8.26171875" style="299" customWidth="1"/>
    <col min="6" max="6" width="8.7890625" style="299" customWidth="1"/>
    <col min="7" max="7" width="7.41796875" style="299" customWidth="1"/>
    <col min="8" max="8" width="8.3671875" style="299" customWidth="1"/>
    <col min="9" max="9" width="8.62890625" style="299" customWidth="1"/>
    <col min="10" max="16384" width="13.68359375" style="299"/>
  </cols>
  <sheetData>
    <row r="1" spans="1:9" ht="24" customHeight="1">
      <c r="A1" s="295" t="s">
        <v>0</v>
      </c>
      <c r="B1" s="296" t="s">
        <v>1468</v>
      </c>
      <c r="C1" s="296" t="s">
        <v>1078</v>
      </c>
      <c r="D1" s="296" t="s">
        <v>5</v>
      </c>
      <c r="E1" s="296" t="s">
        <v>1464</v>
      </c>
      <c r="F1" s="269" t="s">
        <v>9</v>
      </c>
      <c r="G1" s="270" t="s">
        <v>10</v>
      </c>
      <c r="H1" s="297" t="s">
        <v>1469</v>
      </c>
      <c r="I1" s="298" t="s">
        <v>1770</v>
      </c>
    </row>
    <row r="2" spans="1:9" ht="12.75" customHeight="1">
      <c r="A2" s="300">
        <v>41641</v>
      </c>
      <c r="B2" s="301" t="str">
        <f>HYPERLINK("http://earthquake-report.com/2014/01/02/strong-earthquake-southern-iran-on-january-2-2014/","Iran, Hormozgan")</f>
        <v>Iran, Hormozgan</v>
      </c>
      <c r="C2" s="302">
        <v>5.5</v>
      </c>
      <c r="D2" s="302">
        <v>20</v>
      </c>
      <c r="E2" s="302" t="s">
        <v>123</v>
      </c>
      <c r="F2" s="303">
        <v>1</v>
      </c>
      <c r="G2" s="304">
        <v>30</v>
      </c>
      <c r="H2" s="305">
        <v>4</v>
      </c>
      <c r="I2" s="306" t="s">
        <v>23</v>
      </c>
    </row>
    <row r="3" spans="1:9" ht="12.75" customHeight="1">
      <c r="A3" s="307">
        <v>41642</v>
      </c>
      <c r="B3" s="308" t="str">
        <f>HYPERLINK("http://earthquake-report.com/2014/01/03/moderate-earthquake-southern-iran-on-january-3-2014/","Iran, Bushehr")</f>
        <v>Iran, Bushehr</v>
      </c>
      <c r="C3" s="309">
        <v>4.7</v>
      </c>
      <c r="D3" s="309">
        <v>18</v>
      </c>
      <c r="E3" s="309"/>
      <c r="F3" s="310" t="s">
        <v>23</v>
      </c>
      <c r="G3" s="311" t="s">
        <v>23</v>
      </c>
      <c r="H3" s="312">
        <v>2</v>
      </c>
      <c r="I3" s="313" t="s">
        <v>23</v>
      </c>
    </row>
    <row r="4" spans="1:9" ht="12.75" customHeight="1">
      <c r="A4" s="307">
        <v>41644</v>
      </c>
      <c r="B4" s="308" t="str">
        <f>HYPERLINK("http://earthquake-report.com/2014/01/05/strong-earthquake-colombia-on-january-5-2014/","Colombia, Choco")</f>
        <v>Colombia, Choco</v>
      </c>
      <c r="C4" s="309">
        <v>5.2</v>
      </c>
      <c r="D4" s="309">
        <v>32</v>
      </c>
      <c r="E4" s="309" t="s">
        <v>35</v>
      </c>
      <c r="F4" s="310" t="s">
        <v>23</v>
      </c>
      <c r="G4" s="311" t="s">
        <v>23</v>
      </c>
      <c r="H4" s="312">
        <v>2</v>
      </c>
      <c r="I4" s="313" t="s">
        <v>23</v>
      </c>
    </row>
    <row r="5" spans="1:9" ht="12.75" customHeight="1">
      <c r="A5" s="307">
        <v>41646</v>
      </c>
      <c r="B5" s="308" t="str">
        <f>HYPERLINK("http://earthquake-report.com/2014/01/07/strong-earthquake-northern-chile-on-january-7-2014/","Chile, Tarapaca")</f>
        <v>Chile, Tarapaca</v>
      </c>
      <c r="C5" s="309">
        <v>5.2</v>
      </c>
      <c r="D5" s="309">
        <v>80</v>
      </c>
      <c r="E5" s="309" t="s">
        <v>1364</v>
      </c>
      <c r="F5" s="310" t="s">
        <v>23</v>
      </c>
      <c r="G5" s="311" t="s">
        <v>23</v>
      </c>
      <c r="H5" s="312">
        <v>1</v>
      </c>
      <c r="I5" s="313" t="s">
        <v>23</v>
      </c>
    </row>
    <row r="6" spans="1:9" ht="12.75" customHeight="1">
      <c r="A6" s="307">
        <v>41646</v>
      </c>
      <c r="B6" s="309" t="s">
        <v>1880</v>
      </c>
      <c r="C6" s="309" t="s">
        <v>1572</v>
      </c>
      <c r="D6" s="309"/>
      <c r="E6" s="309"/>
      <c r="F6" s="310" t="s">
        <v>23</v>
      </c>
      <c r="G6" s="311" t="s">
        <v>23</v>
      </c>
      <c r="H6" s="312" t="s">
        <v>1478</v>
      </c>
      <c r="I6" s="313" t="s">
        <v>23</v>
      </c>
    </row>
    <row r="7" spans="1:9" ht="12.75" customHeight="1">
      <c r="A7" s="307">
        <v>41646</v>
      </c>
      <c r="B7" s="308" t="str">
        <f>HYPERLINK("http://earthquake-report.com/2014/01/07/moderate-earthquake-shandong-china-on-january-7-2014/","China, Shandong")</f>
        <v>China, Shandong</v>
      </c>
      <c r="C7" s="309">
        <v>4.3</v>
      </c>
      <c r="D7" s="309">
        <v>7</v>
      </c>
      <c r="E7" s="309"/>
      <c r="F7" s="310" t="s">
        <v>23</v>
      </c>
      <c r="G7" s="311" t="s">
        <v>23</v>
      </c>
      <c r="H7" s="312">
        <v>1</v>
      </c>
      <c r="I7" s="313" t="s">
        <v>23</v>
      </c>
    </row>
    <row r="8" spans="1:9" ht="12.75" customHeight="1">
      <c r="A8" s="307">
        <v>41647</v>
      </c>
      <c r="B8" s="309" t="s">
        <v>1881</v>
      </c>
      <c r="C8" s="309">
        <v>1.8</v>
      </c>
      <c r="D8" s="309"/>
      <c r="E8" s="309"/>
      <c r="F8" s="310" t="s">
        <v>23</v>
      </c>
      <c r="G8" s="311" t="s">
        <v>23</v>
      </c>
      <c r="H8" s="312">
        <v>1</v>
      </c>
      <c r="I8" s="313" t="s">
        <v>23</v>
      </c>
    </row>
    <row r="9" spans="1:9" ht="12.75" customHeight="1">
      <c r="A9" s="307">
        <v>41648</v>
      </c>
      <c r="B9" s="308" t="str">
        <f>HYPERLINK("http://earthquake-report.com/2014/01/09/moderate-earthquake-southern-iran-on-january-9-2014-2/","Iran, Hormozgan")</f>
        <v>Iran, Hormozgan</v>
      </c>
      <c r="C9" s="309">
        <v>5</v>
      </c>
      <c r="D9" s="309">
        <v>10</v>
      </c>
      <c r="E9" s="309"/>
      <c r="F9" s="310" t="s">
        <v>23</v>
      </c>
      <c r="G9" s="311" t="s">
        <v>23</v>
      </c>
      <c r="H9" s="312" t="s">
        <v>1478</v>
      </c>
      <c r="I9" s="313" t="s">
        <v>23</v>
      </c>
    </row>
    <row r="10" spans="1:9" ht="12.75" customHeight="1">
      <c r="A10" s="307">
        <v>41648</v>
      </c>
      <c r="B10" s="308" t="str">
        <f>HYPERLINK("http://earthquake-report.com/2014/01/09/moderate-earthquake-colombia-on-january-9-2014-2/","Colombia, Tolima")</f>
        <v>Colombia, Tolima</v>
      </c>
      <c r="C10" s="309">
        <v>4.8</v>
      </c>
      <c r="D10" s="309"/>
      <c r="E10" s="309"/>
      <c r="F10" s="310" t="s">
        <v>23</v>
      </c>
      <c r="G10" s="311" t="s">
        <v>23</v>
      </c>
      <c r="H10" s="312">
        <v>2</v>
      </c>
      <c r="I10" s="313" t="s">
        <v>23</v>
      </c>
    </row>
    <row r="11" spans="1:9" ht="12.75" customHeight="1">
      <c r="A11" s="307">
        <v>41648</v>
      </c>
      <c r="B11" s="308" t="str">
        <f>HYPERLINK("http://earthquake-report.com/2014/01/09/moderate-earthquake-cuba-region-on-january-9-2014/","OS Cuba")</f>
        <v>OS Cuba</v>
      </c>
      <c r="C11" s="309">
        <v>4.9000000000000004</v>
      </c>
      <c r="D11" s="309"/>
      <c r="E11" s="309"/>
      <c r="F11" s="310" t="s">
        <v>23</v>
      </c>
      <c r="G11" s="311" t="s">
        <v>23</v>
      </c>
      <c r="H11" s="312">
        <v>1</v>
      </c>
      <c r="I11" s="313" t="s">
        <v>23</v>
      </c>
    </row>
    <row r="12" spans="1:9" ht="12.75" customHeight="1">
      <c r="A12" s="307">
        <v>41649</v>
      </c>
      <c r="B12" s="309" t="s">
        <v>1883</v>
      </c>
      <c r="C12" s="309">
        <v>4</v>
      </c>
      <c r="D12" s="309"/>
      <c r="E12" s="309"/>
      <c r="F12" s="310" t="s">
        <v>23</v>
      </c>
      <c r="G12" s="311" t="s">
        <v>23</v>
      </c>
      <c r="H12" s="312">
        <v>2</v>
      </c>
      <c r="I12" s="313" t="s">
        <v>23</v>
      </c>
    </row>
    <row r="13" spans="1:9" ht="12.75" customHeight="1">
      <c r="A13" s="307">
        <v>41652</v>
      </c>
      <c r="B13" s="308" t="str">
        <f>HYPERLINK("http://earthquake-report.com/2014/01/13/strong-earthquake-hatillo-puerto-rico-on-january-13-2014/","OS Puerto Rico")</f>
        <v>OS Puerto Rico</v>
      </c>
      <c r="C13" s="314">
        <v>6.4</v>
      </c>
      <c r="D13" s="309"/>
      <c r="E13" s="309" t="s">
        <v>134</v>
      </c>
      <c r="F13" s="310" t="s">
        <v>23</v>
      </c>
      <c r="G13" s="311" t="s">
        <v>23</v>
      </c>
      <c r="H13" s="312" t="s">
        <v>1478</v>
      </c>
      <c r="I13" s="313" t="s">
        <v>23</v>
      </c>
    </row>
    <row r="14" spans="1:9" ht="12.75" customHeight="1">
      <c r="A14" s="307">
        <v>41652</v>
      </c>
      <c r="B14" s="308" t="str">
        <f>HYPERLINK("http://earthquake-report.com/2014/01/13/minor-earthquake-melbourne-australia-on-january-13-2014/","Australia, Victoria")</f>
        <v>Australia, Victoria</v>
      </c>
      <c r="C14" s="309">
        <v>2.8</v>
      </c>
      <c r="D14" s="309"/>
      <c r="E14" s="309"/>
      <c r="F14" s="310" t="s">
        <v>23</v>
      </c>
      <c r="G14" s="311" t="s">
        <v>23</v>
      </c>
      <c r="H14" s="312">
        <v>1</v>
      </c>
      <c r="I14" s="313" t="s">
        <v>23</v>
      </c>
    </row>
    <row r="15" spans="1:9" ht="12.75" customHeight="1">
      <c r="A15" s="307">
        <v>41653</v>
      </c>
      <c r="B15" s="301" t="str">
        <f>HYPERLINK("http://earthquake-report.com/2014/01/14/moderate-earthquake-sichuan-china-on-january-14-2014/","China, Yunnan")</f>
        <v>China, Yunnan</v>
      </c>
      <c r="C15" s="309">
        <v>4.4000000000000004</v>
      </c>
      <c r="D15" s="309">
        <v>11</v>
      </c>
      <c r="E15" s="309"/>
      <c r="F15" s="310" t="s">
        <v>23</v>
      </c>
      <c r="G15" s="311" t="s">
        <v>23</v>
      </c>
      <c r="H15" s="312" t="s">
        <v>1511</v>
      </c>
      <c r="I15" s="315" t="s">
        <v>23</v>
      </c>
    </row>
    <row r="16" spans="1:9" ht="12.75" customHeight="1">
      <c r="A16" s="316">
        <v>41654</v>
      </c>
      <c r="B16" s="317" t="str">
        <f>HYPERLINK("http://earthquake-report.com/2014/01/15/moderate-earthquake-greater-los-angeles-area-calif-on-january-15-2014/","USA, California")</f>
        <v>USA, California</v>
      </c>
      <c r="C16" s="318">
        <v>4.4000000000000004</v>
      </c>
      <c r="D16" s="309">
        <v>3</v>
      </c>
      <c r="E16" s="309" t="s">
        <v>1364</v>
      </c>
      <c r="F16" s="310" t="s">
        <v>23</v>
      </c>
      <c r="G16" s="311" t="s">
        <v>23</v>
      </c>
      <c r="H16" s="312">
        <v>1</v>
      </c>
      <c r="I16" s="313" t="s">
        <v>23</v>
      </c>
    </row>
    <row r="17" spans="1:9" ht="12.75" customHeight="1">
      <c r="A17" s="307">
        <v>41654</v>
      </c>
      <c r="B17" s="308" t="str">
        <f>HYPERLINK("http://earthquake-report.com/2014/01/16/moderate-earthquake-quetzaltenango-guatemala-on-january-15-2014/","Quetzaltenango, Guatemala")</f>
        <v>Quetzaltenango, Guatemala</v>
      </c>
      <c r="C17" s="309">
        <v>4.0999999999999996</v>
      </c>
      <c r="D17" s="309">
        <v>47</v>
      </c>
      <c r="E17" s="309"/>
      <c r="F17" s="310" t="s">
        <v>23</v>
      </c>
      <c r="G17" s="311" t="s">
        <v>23</v>
      </c>
      <c r="H17" s="312">
        <v>1</v>
      </c>
      <c r="I17" s="313" t="s">
        <v>23</v>
      </c>
    </row>
    <row r="18" spans="1:9" ht="12.75" customHeight="1">
      <c r="A18" s="307">
        <v>41655</v>
      </c>
      <c r="B18" s="309" t="s">
        <v>1884</v>
      </c>
      <c r="C18" s="309">
        <v>4</v>
      </c>
      <c r="D18" s="309"/>
      <c r="E18" s="309"/>
      <c r="F18" s="310" t="s">
        <v>23</v>
      </c>
      <c r="G18" s="311" t="s">
        <v>23</v>
      </c>
      <c r="H18" s="312" t="s">
        <v>1478</v>
      </c>
      <c r="I18" s="313" t="s">
        <v>23</v>
      </c>
    </row>
    <row r="19" spans="1:9" ht="12.75" customHeight="1">
      <c r="A19" s="307">
        <v>41657</v>
      </c>
      <c r="B19" s="309" t="s">
        <v>1526</v>
      </c>
      <c r="C19" s="309">
        <v>3.5</v>
      </c>
      <c r="D19" s="309">
        <v>14</v>
      </c>
      <c r="E19" s="309"/>
      <c r="F19" s="310" t="s">
        <v>23</v>
      </c>
      <c r="G19" s="311" t="s">
        <v>23</v>
      </c>
      <c r="H19" s="312" t="s">
        <v>1478</v>
      </c>
      <c r="I19" s="313" t="s">
        <v>23</v>
      </c>
    </row>
    <row r="20" spans="1:9" ht="12.75" customHeight="1">
      <c r="A20" s="307">
        <v>41658</v>
      </c>
      <c r="B20" s="308" t="str">
        <f>HYPERLINK("http://earthquake-report.com/2014/01/19/moderate-earthquake-czech-and-slovak-republics-on-january-19-2014/","Hungary")</f>
        <v>Hungary</v>
      </c>
      <c r="C20" s="309">
        <v>4.4000000000000004</v>
      </c>
      <c r="D20" s="309"/>
      <c r="E20" s="309"/>
      <c r="F20" s="310" t="s">
        <v>23</v>
      </c>
      <c r="G20" s="311" t="s">
        <v>23</v>
      </c>
      <c r="H20" s="312" t="s">
        <v>1478</v>
      </c>
      <c r="I20" s="313" t="s">
        <v>23</v>
      </c>
    </row>
    <row r="21" spans="1:9" ht="12.75" customHeight="1">
      <c r="A21" s="307">
        <v>41659</v>
      </c>
      <c r="B21" s="301" t="str">
        <f>HYPERLINK("http://earthquake-report.com/2014/01/20/very-strong-earthquake-eketahuna-on-january-20-2014/","New Zealand, Manawatu-Wanganui")</f>
        <v>New Zealand, Manawatu-Wanganui</v>
      </c>
      <c r="C21" s="314">
        <v>6.2</v>
      </c>
      <c r="D21" s="309"/>
      <c r="E21" s="309" t="s">
        <v>363</v>
      </c>
      <c r="F21" s="310" t="s">
        <v>23</v>
      </c>
      <c r="G21" s="311">
        <v>3</v>
      </c>
      <c r="H21" s="312" t="s">
        <v>1511</v>
      </c>
      <c r="I21" s="315" t="s">
        <v>23</v>
      </c>
    </row>
    <row r="22" spans="1:9" ht="12.75" customHeight="1">
      <c r="A22" s="307">
        <v>41659</v>
      </c>
      <c r="B22" s="308" t="str">
        <f>HYPERLINK("http://earthquake-report.com/2014/01/20/moderate-earthquake-southern-italy-on-january-20-2014/","Italy, Campania")</f>
        <v>Italy, Campania</v>
      </c>
      <c r="C22" s="309">
        <v>4.2</v>
      </c>
      <c r="D22" s="309">
        <v>11</v>
      </c>
      <c r="E22" s="309" t="s">
        <v>1364</v>
      </c>
      <c r="F22" s="310" t="s">
        <v>23</v>
      </c>
      <c r="G22" s="311" t="s">
        <v>23</v>
      </c>
      <c r="H22" s="312">
        <v>2</v>
      </c>
      <c r="I22" s="313" t="s">
        <v>23</v>
      </c>
    </row>
    <row r="23" spans="1:9" ht="12.75" customHeight="1">
      <c r="A23" s="307">
        <v>41660</v>
      </c>
      <c r="B23" s="308" t="str">
        <f>HYPERLINK("http://earthquake-report.com/2014/01/21/moderate-earthquake-yunnan-china-on-january-21-2014/","China, Yunnan")</f>
        <v>China, Yunnan</v>
      </c>
      <c r="C23" s="309">
        <v>3.5</v>
      </c>
      <c r="D23" s="309">
        <v>5</v>
      </c>
      <c r="E23" s="309"/>
      <c r="F23" s="310" t="s">
        <v>23</v>
      </c>
      <c r="G23" s="311" t="s">
        <v>23</v>
      </c>
      <c r="H23" s="312">
        <v>1</v>
      </c>
      <c r="I23" s="313" t="s">
        <v>23</v>
      </c>
    </row>
    <row r="24" spans="1:9" ht="12.75" customHeight="1">
      <c r="A24" s="307">
        <v>41662</v>
      </c>
      <c r="B24" s="308" t="str">
        <f>HYPERLINK("http://earthquake-report.com/2014/01/23/moderate-earthquake-sabya-saudi-arabia-on-january-23-2014/","Saudi Arabia")</f>
        <v>Saudi Arabia</v>
      </c>
      <c r="C24" s="309">
        <v>5.0999999999999996</v>
      </c>
      <c r="D24" s="309"/>
      <c r="E24" s="309"/>
      <c r="F24" s="310" t="s">
        <v>23</v>
      </c>
      <c r="G24" s="311" t="s">
        <v>23</v>
      </c>
      <c r="H24" s="312" t="s">
        <v>1478</v>
      </c>
      <c r="I24" s="313" t="s">
        <v>23</v>
      </c>
    </row>
    <row r="25" spans="1:9" ht="12.75" customHeight="1">
      <c r="A25" s="307">
        <v>41664</v>
      </c>
      <c r="B25" s="301" t="str">
        <f>HYPERLINK("http://earthquake-report.com/2014/01/25/very-strong-earthquake-java-indonesia-on-january-25-2014-7/","OS Indonesia, Java")</f>
        <v>OS Indonesia, Java</v>
      </c>
      <c r="C25" s="314">
        <v>6.5</v>
      </c>
      <c r="D25" s="309">
        <v>88</v>
      </c>
      <c r="E25" s="309" t="s">
        <v>35</v>
      </c>
      <c r="F25" s="310" t="s">
        <v>23</v>
      </c>
      <c r="G25" s="311">
        <v>2</v>
      </c>
      <c r="H25" s="312">
        <v>3</v>
      </c>
      <c r="I25" s="315" t="s">
        <v>23</v>
      </c>
    </row>
    <row r="26" spans="1:9" ht="12.75" customHeight="1">
      <c r="A26" s="307">
        <v>41664</v>
      </c>
      <c r="B26" s="309" t="s">
        <v>512</v>
      </c>
      <c r="C26" s="309">
        <v>3.9</v>
      </c>
      <c r="D26" s="309"/>
      <c r="E26" s="309"/>
      <c r="F26" s="310" t="s">
        <v>23</v>
      </c>
      <c r="G26" s="311" t="s">
        <v>23</v>
      </c>
      <c r="H26" s="312">
        <v>1</v>
      </c>
      <c r="I26" s="313" t="s">
        <v>23</v>
      </c>
    </row>
    <row r="27" spans="1:9" ht="12.75" customHeight="1">
      <c r="A27" s="307">
        <v>41665</v>
      </c>
      <c r="B27" s="308" t="str">
        <f>HYPERLINK("http://wp.me/p1bAUO-rcm","Peru, Tumbes")</f>
        <v>Peru, Tumbes</v>
      </c>
      <c r="C27" s="309">
        <v>5.4</v>
      </c>
      <c r="D27" s="309"/>
      <c r="E27" s="309" t="s">
        <v>35</v>
      </c>
      <c r="F27" s="310" t="s">
        <v>23</v>
      </c>
      <c r="G27" s="311" t="s">
        <v>23</v>
      </c>
      <c r="H27" s="312" t="s">
        <v>1478</v>
      </c>
      <c r="I27" s="313" t="s">
        <v>23</v>
      </c>
    </row>
    <row r="28" spans="1:9" ht="12.75" customHeight="1">
      <c r="A28" s="307">
        <v>41665</v>
      </c>
      <c r="B28" s="301" t="str">
        <f>HYPERLINK("http://wp.me/p1bAUO-rdj","Greece, Cephalonia")</f>
        <v>Greece, Cephalonia</v>
      </c>
      <c r="C28" s="314">
        <v>5.8</v>
      </c>
      <c r="D28" s="309">
        <v>16</v>
      </c>
      <c r="E28" s="309" t="s">
        <v>123</v>
      </c>
      <c r="F28" s="310" t="s">
        <v>23</v>
      </c>
      <c r="G28" s="311">
        <v>7</v>
      </c>
      <c r="H28" s="319" t="s">
        <v>1511</v>
      </c>
      <c r="I28" s="315" t="s">
        <v>23</v>
      </c>
    </row>
    <row r="29" spans="1:9" ht="12.75" customHeight="1">
      <c r="A29" s="320" t="s">
        <v>1888</v>
      </c>
      <c r="B29" s="309" t="s">
        <v>1889</v>
      </c>
      <c r="C29" s="309" t="s">
        <v>1890</v>
      </c>
      <c r="D29" s="309"/>
      <c r="E29" s="309"/>
      <c r="F29" s="310" t="s">
        <v>23</v>
      </c>
      <c r="G29" s="311" t="s">
        <v>23</v>
      </c>
      <c r="H29" s="312">
        <v>2</v>
      </c>
      <c r="I29" s="313" t="s">
        <v>23</v>
      </c>
    </row>
    <row r="30" spans="1:9" ht="12.75" customHeight="1">
      <c r="A30" s="307">
        <v>41665</v>
      </c>
      <c r="B30" s="308" t="str">
        <f>HYPERLINK("http://earthquake-report.com/2014/01/26/moderate-earthquake-mindoro-philippines-on-january-26-2014/","Philippines, Marinduque")</f>
        <v>Philippines, Marinduque</v>
      </c>
      <c r="C30" s="309">
        <v>4.7</v>
      </c>
      <c r="D30" s="309">
        <v>1</v>
      </c>
      <c r="E30" s="309"/>
      <c r="F30" s="310" t="s">
        <v>23</v>
      </c>
      <c r="G30" s="311" t="s">
        <v>23</v>
      </c>
      <c r="H30" s="312">
        <v>1</v>
      </c>
      <c r="I30" s="313" t="s">
        <v>23</v>
      </c>
    </row>
    <row r="31" spans="1:9" ht="12.75" customHeight="1">
      <c r="A31" s="307">
        <v>41667</v>
      </c>
      <c r="B31" s="301" t="str">
        <f>HYPERLINK("http://earthquake-report.com/2014/01/28/moderate-earthquake-nw-balkan-region-on-january-28-2014/","Bosnia-Herzegowina")</f>
        <v>Bosnia-Herzegowina</v>
      </c>
      <c r="C31" s="309">
        <v>4.2</v>
      </c>
      <c r="D31" s="309"/>
      <c r="E31" s="309" t="s">
        <v>35</v>
      </c>
      <c r="F31" s="310" t="s">
        <v>23</v>
      </c>
      <c r="G31" s="311">
        <v>6</v>
      </c>
      <c r="H31" s="312">
        <v>2</v>
      </c>
      <c r="I31" s="315" t="s">
        <v>23</v>
      </c>
    </row>
    <row r="32" spans="1:9" ht="12.75" customHeight="1">
      <c r="A32" s="307">
        <v>41667</v>
      </c>
      <c r="B32" s="301" t="str">
        <f>HYPERLINK("http://wp.me/p1bAUO-rhI","China, Yunnan")</f>
        <v>China, Yunnan</v>
      </c>
      <c r="C32" s="309">
        <v>4.5999999999999996</v>
      </c>
      <c r="D32" s="309">
        <v>10</v>
      </c>
      <c r="E32" s="309"/>
      <c r="F32" s="310" t="s">
        <v>23</v>
      </c>
      <c r="G32" s="311" t="s">
        <v>23</v>
      </c>
      <c r="H32" s="319" t="s">
        <v>1511</v>
      </c>
      <c r="I32" s="315" t="s">
        <v>23</v>
      </c>
    </row>
    <row r="33" spans="1:9" ht="12.75" customHeight="1">
      <c r="A33" s="307">
        <v>41667</v>
      </c>
      <c r="B33" s="301" t="str">
        <f>HYPERLINK("http://wp.me/p1bAUO-riJ","Iran, Chaharmahal and Bakhtiari")</f>
        <v>Iran, Chaharmahal and Bakhtiari</v>
      </c>
      <c r="C33" s="309">
        <v>5.0999999999999996</v>
      </c>
      <c r="D33" s="309">
        <v>6</v>
      </c>
      <c r="E33" s="309"/>
      <c r="F33" s="310" t="s">
        <v>23</v>
      </c>
      <c r="G33" s="311" t="s">
        <v>23</v>
      </c>
      <c r="H33" s="312" t="s">
        <v>1511</v>
      </c>
      <c r="I33" s="315" t="s">
        <v>23</v>
      </c>
    </row>
    <row r="34" spans="1:9" ht="12.3">
      <c r="A34" s="307">
        <v>41669</v>
      </c>
      <c r="B34" s="308" t="str">
        <f>HYPERLINK("http://wp.me/p1bAUO-rkD","Costa Rica")</f>
        <v>Costa Rica</v>
      </c>
      <c r="C34" s="309">
        <v>4.5999999999999996</v>
      </c>
      <c r="D34" s="309">
        <v>32</v>
      </c>
      <c r="E34" s="309"/>
      <c r="F34" s="310" t="s">
        <v>23</v>
      </c>
      <c r="G34" s="311" t="s">
        <v>23</v>
      </c>
      <c r="H34" s="312" t="s">
        <v>1478</v>
      </c>
      <c r="I34" s="313" t="s">
        <v>23</v>
      </c>
    </row>
    <row r="35" spans="1:9" ht="12.3">
      <c r="A35" s="307">
        <v>41671</v>
      </c>
      <c r="B35" s="308" t="str">
        <f>HYPERLINK("http://earthquake-report.com/2014/02/01/moderate-earthquake-borneo-on-february-1-2014/","Malaysia, Borneo")</f>
        <v>Malaysia, Borneo</v>
      </c>
      <c r="C35" s="309">
        <v>4.8</v>
      </c>
      <c r="D35" s="309"/>
      <c r="E35" s="309"/>
      <c r="F35" s="310" t="s">
        <v>23</v>
      </c>
      <c r="G35" s="311" t="s">
        <v>23</v>
      </c>
      <c r="H35" s="312">
        <v>1</v>
      </c>
      <c r="I35" s="313" t="s">
        <v>23</v>
      </c>
    </row>
    <row r="36" spans="1:9" ht="12.3">
      <c r="A36" s="307">
        <v>41671</v>
      </c>
      <c r="B36" s="308" t="str">
        <f>HYPERLINK("http://earthquake-report.com/2014/02/01/moderate-earthquake-greece-on-february-1-2014/","Greece, Cephalonia (aftershock)")</f>
        <v>Greece, Cephalonia (aftershock)</v>
      </c>
      <c r="C36" s="309">
        <v>4.5999999999999996</v>
      </c>
      <c r="D36" s="309">
        <v>3</v>
      </c>
      <c r="E36" s="309"/>
      <c r="F36" s="310" t="s">
        <v>23</v>
      </c>
      <c r="G36" s="311" t="s">
        <v>23</v>
      </c>
      <c r="H36" s="312" t="s">
        <v>1478</v>
      </c>
      <c r="I36" s="313" t="s">
        <v>23</v>
      </c>
    </row>
    <row r="37" spans="1:9" ht="12.3">
      <c r="A37" s="307">
        <v>41672</v>
      </c>
      <c r="B37" s="308" t="str">
        <f>HYPERLINK("http://earthquake-report.com/2014/02/02/strong-earthquake-southern-iran-on-february-2-2014/","Iran, Hormozgan")</f>
        <v>Iran, Hormozgan</v>
      </c>
      <c r="C37" s="314">
        <v>5.5</v>
      </c>
      <c r="D37" s="309">
        <v>8</v>
      </c>
      <c r="E37" s="309"/>
      <c r="F37" s="310" t="s">
        <v>23</v>
      </c>
      <c r="G37" s="311" t="s">
        <v>23</v>
      </c>
      <c r="H37" s="319">
        <v>2</v>
      </c>
      <c r="I37" s="313" t="s">
        <v>23</v>
      </c>
    </row>
    <row r="38" spans="1:9" ht="12.3">
      <c r="A38" s="307">
        <v>41672</v>
      </c>
      <c r="B38" s="308" t="str">
        <f>HYPERLINK("http://earthquake-report.com/2014/02/03/minor-earthquake-northwestern-iran-on-february-2-2014/","Iran, East Azerbaijan")</f>
        <v>Iran, East Azerbaijan</v>
      </c>
      <c r="C38" s="309">
        <v>3.5</v>
      </c>
      <c r="D38" s="309"/>
      <c r="E38" s="309"/>
      <c r="F38" s="310" t="s">
        <v>23</v>
      </c>
      <c r="G38" s="311" t="s">
        <v>23</v>
      </c>
      <c r="H38" s="312">
        <v>1</v>
      </c>
      <c r="I38" s="313" t="s">
        <v>23</v>
      </c>
    </row>
    <row r="39" spans="1:9" ht="12.3">
      <c r="A39" s="307">
        <v>41673</v>
      </c>
      <c r="B39" s="301" t="str">
        <f>HYPERLINK("http://earthquake-report.com/2014/01/26/strong-earthquake-greece-on-january-26-2014/","OS Greece, Cephalonia")</f>
        <v>OS Greece, Cephalonia</v>
      </c>
      <c r="C39" s="314">
        <v>5.7</v>
      </c>
      <c r="D39" s="309">
        <v>12</v>
      </c>
      <c r="E39" s="309"/>
      <c r="F39" s="310" t="s">
        <v>23</v>
      </c>
      <c r="G39" s="311">
        <v>16</v>
      </c>
      <c r="H39" s="312">
        <v>4</v>
      </c>
      <c r="I39" s="315" t="s">
        <v>23</v>
      </c>
    </row>
    <row r="40" spans="1:9" ht="12.3">
      <c r="A40" s="300">
        <v>41674</v>
      </c>
      <c r="B40" s="302" t="s">
        <v>942</v>
      </c>
      <c r="C40" s="302" t="s">
        <v>1541</v>
      </c>
      <c r="D40" s="302"/>
      <c r="E40" s="302"/>
      <c r="F40" s="303" t="s">
        <v>1891</v>
      </c>
      <c r="G40" s="321" t="s">
        <v>23</v>
      </c>
      <c r="H40" s="305">
        <v>1</v>
      </c>
      <c r="I40" s="306" t="s">
        <v>23</v>
      </c>
    </row>
    <row r="41" spans="1:9" ht="12.3">
      <c r="A41" s="307">
        <v>41677</v>
      </c>
      <c r="B41" s="308" t="str">
        <f>HYPERLINK("http://earthquake-report.com/2014/02/07/strong-earthquake-apure-venezuela-on-february-7-2014-2/","Colombia, Santander")</f>
        <v>Colombia, Santander</v>
      </c>
      <c r="C41" s="314">
        <v>5.5</v>
      </c>
      <c r="D41" s="309">
        <v>160</v>
      </c>
      <c r="E41" s="309" t="s">
        <v>684</v>
      </c>
      <c r="F41" s="310" t="s">
        <v>23</v>
      </c>
      <c r="G41" s="311" t="s">
        <v>23</v>
      </c>
      <c r="H41" s="312">
        <v>1</v>
      </c>
      <c r="I41" s="313" t="s">
        <v>23</v>
      </c>
    </row>
    <row r="42" spans="1:9" ht="12.3">
      <c r="A42" s="307">
        <v>41679</v>
      </c>
      <c r="B42" s="308" t="str">
        <f>HYPERLINK("http://earthquake-report.com/2014/02/09/moderate-earthquake-oklahoma-on-february-9-2014/","USA, Oklahoma")</f>
        <v>USA, Oklahoma</v>
      </c>
      <c r="C42" s="309" t="s">
        <v>1860</v>
      </c>
      <c r="D42" s="309">
        <v>5</v>
      </c>
      <c r="E42" s="309"/>
      <c r="F42" s="310" t="s">
        <v>23</v>
      </c>
      <c r="G42" s="311" t="s">
        <v>23</v>
      </c>
      <c r="H42" s="312">
        <v>1</v>
      </c>
      <c r="I42" s="313" t="s">
        <v>23</v>
      </c>
    </row>
    <row r="43" spans="1:9" ht="12.3">
      <c r="A43" s="307">
        <v>41680</v>
      </c>
      <c r="B43" s="301" t="str">
        <f>HYPERLINK("http://earthquake-report.com/2014/02/10/moderate-earthquake-eastern-caucasus-on-february-10-2014/","Azerbaijan")</f>
        <v>Azerbaijan</v>
      </c>
      <c r="C43" s="309">
        <v>5.4</v>
      </c>
      <c r="D43" s="309">
        <v>55</v>
      </c>
      <c r="E43" s="309"/>
      <c r="F43" s="310" t="s">
        <v>23</v>
      </c>
      <c r="G43" s="311" t="s">
        <v>23</v>
      </c>
      <c r="H43" s="312" t="s">
        <v>1511</v>
      </c>
      <c r="I43" s="313" t="s">
        <v>23</v>
      </c>
    </row>
    <row r="44" spans="1:9" ht="12.3">
      <c r="A44" s="307">
        <v>41680</v>
      </c>
      <c r="B44" s="301" t="str">
        <f>HYPERLINK("http://earthquake-report.com/2014/02/10/moderate-earthquake-timor-region-on-february-10-2014/","Indonesia, Nusa Tenggara Timur")</f>
        <v>Indonesia, Nusa Tenggara Timur</v>
      </c>
      <c r="C44" s="314">
        <v>5.5</v>
      </c>
      <c r="D44" s="309"/>
      <c r="E44" s="309"/>
      <c r="F44" s="310" t="s">
        <v>23</v>
      </c>
      <c r="G44" s="311">
        <v>4</v>
      </c>
      <c r="H44" s="312" t="s">
        <v>1511</v>
      </c>
      <c r="I44" s="313" t="s">
        <v>23</v>
      </c>
    </row>
    <row r="45" spans="1:9" ht="12.3">
      <c r="A45" s="307">
        <v>41681</v>
      </c>
      <c r="B45" s="308" t="str">
        <f>HYPERLINK("http://earthquake-report.com/2014/02/11/moderate-earthquake-southern-xinjiang-china-on-february-11-2014/","China, Xinjiang (forshock)")</f>
        <v>China, Xinjiang (forshock)</v>
      </c>
      <c r="C45" s="309">
        <v>5.4</v>
      </c>
      <c r="D45" s="309">
        <v>11</v>
      </c>
      <c r="E45" s="309"/>
      <c r="F45" s="310" t="s">
        <v>23</v>
      </c>
      <c r="G45" s="311" t="s">
        <v>23</v>
      </c>
      <c r="H45" s="312" t="s">
        <v>1478</v>
      </c>
      <c r="I45" s="313" t="s">
        <v>23</v>
      </c>
    </row>
    <row r="46" spans="1:9" ht="12.3">
      <c r="A46" s="307">
        <v>41681</v>
      </c>
      <c r="B46" s="308" t="str">
        <f>HYPERLINK("http://earthquake-report.com/2014/02/11/moderate-earthquake-taiwan-on-february-11-2014/","Taiwan, Taipeh")</f>
        <v>Taiwan, Taipeh</v>
      </c>
      <c r="C46" s="309">
        <v>4</v>
      </c>
      <c r="D46" s="309">
        <v>6</v>
      </c>
      <c r="E46" s="309" t="s">
        <v>684</v>
      </c>
      <c r="F46" s="310" t="s">
        <v>23</v>
      </c>
      <c r="G46" s="311" t="s">
        <v>23</v>
      </c>
      <c r="H46" s="312">
        <v>1</v>
      </c>
      <c r="I46" s="313" t="s">
        <v>23</v>
      </c>
    </row>
    <row r="47" spans="1:9" ht="12.3">
      <c r="A47" s="322">
        <v>41682</v>
      </c>
      <c r="B47" s="301" t="str">
        <f>HYPERLINK("http://earthquake-report.com/2014/02/12/very-strong-earthquake-southern-xinjiang-china-on-february-12-2014/","China, Xinjiang")</f>
        <v>China, Xinjiang</v>
      </c>
      <c r="C47" s="314">
        <v>7.3</v>
      </c>
      <c r="D47" s="314">
        <v>12</v>
      </c>
      <c r="E47" s="314" t="s">
        <v>687</v>
      </c>
      <c r="F47" s="303" t="s">
        <v>23</v>
      </c>
      <c r="G47" s="304" t="s">
        <v>23</v>
      </c>
      <c r="H47" s="323">
        <v>5</v>
      </c>
      <c r="I47" s="315" t="s">
        <v>23</v>
      </c>
    </row>
    <row r="48" spans="1:9" ht="12.3">
      <c r="A48" s="307">
        <v>41683</v>
      </c>
      <c r="B48" s="308" t="str">
        <f>HYPERLINK("http://earthquake-report.com/2014/02/12/earthquakes-in-the-world-on-february-13-2014-m2-9-or-more/","Netherlands")</f>
        <v>Netherlands</v>
      </c>
      <c r="C48" s="309" t="s">
        <v>1828</v>
      </c>
      <c r="D48" s="309">
        <v>3</v>
      </c>
      <c r="E48" s="309"/>
      <c r="F48" s="310" t="s">
        <v>23</v>
      </c>
      <c r="G48" s="311" t="s">
        <v>23</v>
      </c>
      <c r="H48" s="312">
        <v>2</v>
      </c>
      <c r="I48" s="313" t="s">
        <v>23</v>
      </c>
    </row>
    <row r="49" spans="1:9" ht="12.3">
      <c r="A49" s="307">
        <v>41684</v>
      </c>
      <c r="B49" s="309" t="s">
        <v>1892</v>
      </c>
      <c r="C49" s="309">
        <v>4.5</v>
      </c>
      <c r="D49" s="309"/>
      <c r="E49" s="309"/>
      <c r="F49" s="310" t="s">
        <v>23</v>
      </c>
      <c r="G49" s="311" t="s">
        <v>23</v>
      </c>
      <c r="H49" s="312">
        <v>2</v>
      </c>
      <c r="I49" s="313" t="s">
        <v>23</v>
      </c>
    </row>
    <row r="50" spans="1:9" ht="12.3">
      <c r="A50" s="307">
        <v>41685</v>
      </c>
      <c r="B50" s="308" t="str">
        <f>HYPERLINK("http://earthquake-report.com/2014/02/15/minor-earthquake-guthrie-oklahoma-on-february-15-2014/","USA, Oklahoma")</f>
        <v>USA, Oklahoma</v>
      </c>
      <c r="C50" s="309" t="s">
        <v>1822</v>
      </c>
      <c r="D50" s="309"/>
      <c r="E50" s="309"/>
      <c r="F50" s="310" t="s">
        <v>23</v>
      </c>
      <c r="G50" s="311" t="s">
        <v>23</v>
      </c>
      <c r="H50" s="312">
        <v>1</v>
      </c>
      <c r="I50" s="313" t="s">
        <v>23</v>
      </c>
    </row>
    <row r="51" spans="1:9" ht="12.3">
      <c r="A51" s="307">
        <v>41685</v>
      </c>
      <c r="B51" s="308" t="str">
        <f>HYPERLINK("http://earthquake-report.com/2014/02/15/strong-earthquake-georgia-usa-on-february-15-2014/","USA, South Carolina")</f>
        <v>USA, South Carolina</v>
      </c>
      <c r="C51" s="309">
        <v>4.0999999999999996</v>
      </c>
      <c r="D51" s="309">
        <v>5</v>
      </c>
      <c r="E51" s="309" t="s">
        <v>134</v>
      </c>
      <c r="F51" s="310" t="s">
        <v>23</v>
      </c>
      <c r="G51" s="311" t="s">
        <v>23</v>
      </c>
      <c r="H51" s="312" t="s">
        <v>1478</v>
      </c>
      <c r="I51" s="313" t="s">
        <v>23</v>
      </c>
    </row>
    <row r="52" spans="1:9" ht="12.3">
      <c r="A52" s="307">
        <v>41686</v>
      </c>
      <c r="B52" s="314" t="s">
        <v>1893</v>
      </c>
      <c r="C52" s="309">
        <v>2.7</v>
      </c>
      <c r="D52" s="309">
        <v>17</v>
      </c>
      <c r="E52" s="309" t="s">
        <v>684</v>
      </c>
      <c r="F52" s="310" t="s">
        <v>23</v>
      </c>
      <c r="G52" s="311" t="s">
        <v>23</v>
      </c>
      <c r="H52" s="312" t="s">
        <v>1511</v>
      </c>
      <c r="I52" s="313" t="s">
        <v>23</v>
      </c>
    </row>
    <row r="53" spans="1:9" ht="12.3">
      <c r="A53" s="307">
        <v>41687</v>
      </c>
      <c r="B53" s="308" t="str">
        <f>HYPERLINK("http://earthquake-report.com/2014/02/17/moderate-earthquake-oklahoma-on-february-17-2014/","USA, Oklahoma")</f>
        <v>USA, Oklahoma</v>
      </c>
      <c r="C53" s="309" t="s">
        <v>1894</v>
      </c>
      <c r="D53" s="309">
        <v>5</v>
      </c>
      <c r="E53" s="309" t="s">
        <v>684</v>
      </c>
      <c r="F53" s="310" t="s">
        <v>23</v>
      </c>
      <c r="G53" s="311" t="s">
        <v>23</v>
      </c>
      <c r="H53" s="312">
        <v>1</v>
      </c>
      <c r="I53" s="313" t="s">
        <v>23</v>
      </c>
    </row>
    <row r="54" spans="1:9" ht="12.3">
      <c r="A54" s="307">
        <v>41687</v>
      </c>
      <c r="B54" s="308" t="str">
        <f>HYPERLINK("http://earthquake-report.com/2014/02/17/moderate-earthquake-luzon-philippines-on-february-17-2014/","OS Philippines, Luzon")</f>
        <v>OS Philippines, Luzon</v>
      </c>
      <c r="C54" s="314">
        <v>5.7</v>
      </c>
      <c r="D54" s="309">
        <v>23</v>
      </c>
      <c r="E54" s="309" t="s">
        <v>134</v>
      </c>
      <c r="F54" s="310" t="s">
        <v>23</v>
      </c>
      <c r="G54" s="311" t="s">
        <v>23</v>
      </c>
      <c r="H54" s="312">
        <v>1</v>
      </c>
      <c r="I54" s="313" t="s">
        <v>23</v>
      </c>
    </row>
    <row r="55" spans="1:9" ht="12.3">
      <c r="A55" s="307">
        <v>41687</v>
      </c>
      <c r="B55" s="314" t="s">
        <v>1518</v>
      </c>
      <c r="C55" s="309">
        <v>2.8</v>
      </c>
      <c r="D55" s="309">
        <v>7</v>
      </c>
      <c r="E55" s="309"/>
      <c r="F55" s="310" t="s">
        <v>23</v>
      </c>
      <c r="G55" s="311" t="s">
        <v>23</v>
      </c>
      <c r="H55" s="312" t="s">
        <v>1511</v>
      </c>
      <c r="I55" s="313" t="s">
        <v>23</v>
      </c>
    </row>
    <row r="56" spans="1:9" ht="12.3">
      <c r="A56" s="307">
        <v>41688</v>
      </c>
      <c r="B56" s="308" t="str">
        <f>HYPERLINK("http://earthquake-report.com/2014/02/18/very-strong-earthquake-east-of-martinique-windward-is-on-february-18-2014/","OS Barbados")</f>
        <v>OS Barbados</v>
      </c>
      <c r="C56" s="314">
        <v>6.7</v>
      </c>
      <c r="D56" s="309"/>
      <c r="E56" s="309" t="s">
        <v>134</v>
      </c>
      <c r="F56" s="310" t="s">
        <v>23</v>
      </c>
      <c r="G56" s="311" t="s">
        <v>23</v>
      </c>
      <c r="H56" s="312">
        <v>1</v>
      </c>
      <c r="I56" s="313" t="s">
        <v>23</v>
      </c>
    </row>
    <row r="57" spans="1:9" ht="12.3">
      <c r="A57" s="307">
        <v>41688</v>
      </c>
      <c r="B57" s="301" t="str">
        <f>HYPERLINK("http://earthquake-report.com/2014/02/18/very-strong-earthquake-near-coast-of-peru-on-february-18-2014/","Peru, Ica")</f>
        <v>Peru, Ica</v>
      </c>
      <c r="C57" s="314">
        <v>5.6</v>
      </c>
      <c r="D57" s="309"/>
      <c r="E57" s="309"/>
      <c r="F57" s="310" t="s">
        <v>23</v>
      </c>
      <c r="G57" s="311">
        <v>16</v>
      </c>
      <c r="H57" s="312" t="s">
        <v>1478</v>
      </c>
      <c r="I57" s="313" t="s">
        <v>23</v>
      </c>
    </row>
    <row r="58" spans="1:9" ht="12.3">
      <c r="A58" s="307">
        <v>41688</v>
      </c>
      <c r="B58" s="309" t="s">
        <v>1774</v>
      </c>
      <c r="C58" s="309">
        <v>4.5999999999999996</v>
      </c>
      <c r="D58" s="309"/>
      <c r="E58" s="309"/>
      <c r="F58" s="310" t="s">
        <v>23</v>
      </c>
      <c r="G58" s="311" t="s">
        <v>23</v>
      </c>
      <c r="H58" s="312">
        <v>2</v>
      </c>
      <c r="I58" s="313" t="s">
        <v>23</v>
      </c>
    </row>
    <row r="59" spans="1:9" ht="12.3">
      <c r="A59" s="307">
        <v>41689</v>
      </c>
      <c r="B59" s="308" t="str">
        <f>HYPERLINK("http://earthquake-report.com/2014/02/19/strong-earthquake-venezuela-on-february-19-2014/","Venezuela, Lara")</f>
        <v>Venezuela, Lara</v>
      </c>
      <c r="C59" s="309">
        <v>5.2</v>
      </c>
      <c r="D59" s="309">
        <v>3</v>
      </c>
      <c r="E59" s="309"/>
      <c r="F59" s="310" t="s">
        <v>23</v>
      </c>
      <c r="G59" s="311" t="s">
        <v>23</v>
      </c>
      <c r="H59" s="312">
        <v>2</v>
      </c>
      <c r="I59" s="313" t="s">
        <v>23</v>
      </c>
    </row>
    <row r="60" spans="1:9" ht="12.3">
      <c r="A60" s="307">
        <v>41690</v>
      </c>
      <c r="B60" s="308" t="str">
        <f>HYPERLINK("http://earthquake-report.com/2014/02/20/moderate-earthquake-western-iran-on-february-20-2014/","Iran, Isfahan")</f>
        <v>Iran, Isfahan</v>
      </c>
      <c r="C60" s="309">
        <v>4.2</v>
      </c>
      <c r="D60" s="309">
        <v>15</v>
      </c>
      <c r="E60" s="309"/>
      <c r="F60" s="310" t="s">
        <v>23</v>
      </c>
      <c r="G60" s="311" t="s">
        <v>23</v>
      </c>
      <c r="H60" s="312" t="s">
        <v>1478</v>
      </c>
      <c r="I60" s="313" t="s">
        <v>23</v>
      </c>
    </row>
    <row r="61" spans="1:9" ht="12.3">
      <c r="A61" s="307">
        <v>41692</v>
      </c>
      <c r="B61" s="308" t="str">
        <f>HYPERLINK("http://earthquake-report.com/2014/02/18/very-strong-earthquake-near-coast-of-peru-on-february-18-2014/","Turkey, Kahramanmaras")</f>
        <v>Turkey, Kahramanmaras</v>
      </c>
      <c r="C61" s="309">
        <v>4.4000000000000004</v>
      </c>
      <c r="D61" s="309">
        <v>7</v>
      </c>
      <c r="E61" s="309"/>
      <c r="F61" s="310" t="s">
        <v>23</v>
      </c>
      <c r="G61" s="311" t="s">
        <v>23</v>
      </c>
      <c r="H61" s="312">
        <v>2</v>
      </c>
      <c r="I61" s="313" t="s">
        <v>23</v>
      </c>
    </row>
    <row r="62" spans="1:9" ht="12.3">
      <c r="A62" s="307">
        <v>41692</v>
      </c>
      <c r="B62" s="301" t="str">
        <f>HYPERLINK("http://earthquake-report.com/2014/02/22/moderate-earthquake-northern-algeria-on-february-22-2014/","Algeria, Boumerdès")</f>
        <v>Algeria, Boumerdès</v>
      </c>
      <c r="C62" s="309">
        <v>4.5</v>
      </c>
      <c r="D62" s="309"/>
      <c r="E62" s="309"/>
      <c r="F62" s="310" t="s">
        <v>23</v>
      </c>
      <c r="G62" s="311">
        <v>1</v>
      </c>
      <c r="H62" s="312">
        <v>1</v>
      </c>
      <c r="I62" s="313" t="s">
        <v>23</v>
      </c>
    </row>
    <row r="63" spans="1:9" ht="12.3">
      <c r="A63" s="307">
        <v>41696</v>
      </c>
      <c r="B63" s="308" t="str">
        <f>HYPERLINK("http://earthquake-report.com/2014/02/26/moderate-earthquake-western-australia-on-february-26-2014-2/","Australia, Western Australia")</f>
        <v>Australia, Western Australia</v>
      </c>
      <c r="C63" s="309" t="s">
        <v>1895</v>
      </c>
      <c r="D63" s="309"/>
      <c r="E63" s="309" t="s">
        <v>134</v>
      </c>
      <c r="F63" s="310" t="s">
        <v>23</v>
      </c>
      <c r="G63" s="311" t="s">
        <v>23</v>
      </c>
      <c r="H63" s="312" t="s">
        <v>1478</v>
      </c>
      <c r="I63" s="313" t="s">
        <v>23</v>
      </c>
    </row>
    <row r="64" spans="1:9" ht="12.3">
      <c r="A64" s="307">
        <v>41696</v>
      </c>
      <c r="B64" s="308" t="str">
        <f>HYPERLINK("http://earthquake-report.com/2014/02/26/moderate-earthquake-southeastern-iran-on-february-26-2014/","Iran, Kerman")</f>
        <v>Iran, Kerman</v>
      </c>
      <c r="C64" s="309">
        <v>4.3</v>
      </c>
      <c r="D64" s="309">
        <v>36</v>
      </c>
      <c r="E64" s="309"/>
      <c r="F64" s="310" t="s">
        <v>23</v>
      </c>
      <c r="G64" s="311" t="s">
        <v>23</v>
      </c>
      <c r="H64" s="312">
        <v>2</v>
      </c>
      <c r="I64" s="313" t="s">
        <v>23</v>
      </c>
    </row>
    <row r="65" spans="1:9" ht="12.3">
      <c r="A65" s="320" t="s">
        <v>1896</v>
      </c>
      <c r="B65" s="309" t="s">
        <v>1622</v>
      </c>
      <c r="C65" s="309" t="s">
        <v>1897</v>
      </c>
      <c r="D65" s="309"/>
      <c r="E65" s="309"/>
      <c r="F65" s="310" t="s">
        <v>23</v>
      </c>
      <c r="G65" s="311" t="s">
        <v>23</v>
      </c>
      <c r="H65" s="312">
        <v>2</v>
      </c>
      <c r="I65" s="313" t="s">
        <v>23</v>
      </c>
    </row>
    <row r="66" spans="1:9" ht="12.3">
      <c r="A66" s="307">
        <v>41700</v>
      </c>
      <c r="B66" s="301" t="str">
        <f>HYPERLINK("http://earthquake-report.com/2014/03/02/very-strong-earthquake-near-coast-of-nicaragua-on-march-2-2014/","OS Nicaragua")</f>
        <v>OS Nicaragua</v>
      </c>
      <c r="C66" s="314">
        <v>6.2</v>
      </c>
      <c r="D66" s="309">
        <v>71</v>
      </c>
      <c r="E66" s="309" t="s">
        <v>35</v>
      </c>
      <c r="F66" s="310" t="s">
        <v>23</v>
      </c>
      <c r="G66" s="311" t="s">
        <v>23</v>
      </c>
      <c r="H66" s="312" t="s">
        <v>1511</v>
      </c>
      <c r="I66" s="313" t="s">
        <v>23</v>
      </c>
    </row>
    <row r="67" spans="1:9" ht="12.3">
      <c r="A67" s="307">
        <v>41703</v>
      </c>
      <c r="B67" s="309" t="s">
        <v>1898</v>
      </c>
      <c r="C67" s="309">
        <v>4.8</v>
      </c>
      <c r="D67" s="309"/>
      <c r="E67" s="309"/>
      <c r="F67" s="310" t="s">
        <v>23</v>
      </c>
      <c r="G67" s="311" t="s">
        <v>23</v>
      </c>
      <c r="H67" s="312" t="s">
        <v>1478</v>
      </c>
      <c r="I67" s="313" t="s">
        <v>23</v>
      </c>
    </row>
    <row r="68" spans="1:9" ht="12.3">
      <c r="A68" s="307">
        <v>41707</v>
      </c>
      <c r="B68" s="301" t="str">
        <f>HYPERLINK("http://earthquake-report.com/2014/03/09/minor-earthquake-northwestern-iran-on-march-9-2014/","Iran, East Azerbaijan")</f>
        <v>Iran, East Azerbaijan</v>
      </c>
      <c r="C68" s="309">
        <v>3.5</v>
      </c>
      <c r="D68" s="309">
        <v>17</v>
      </c>
      <c r="E68" s="309"/>
      <c r="F68" s="310" t="s">
        <v>23</v>
      </c>
      <c r="G68" s="311">
        <v>8</v>
      </c>
      <c r="H68" s="312" t="s">
        <v>23</v>
      </c>
      <c r="I68" s="313" t="s">
        <v>23</v>
      </c>
    </row>
    <row r="69" spans="1:9" ht="12.3">
      <c r="A69" s="307">
        <v>41707</v>
      </c>
      <c r="B69" s="308" t="str">
        <f>HYPERLINK("http://earthquake-report.com/2014/03/09/moderate-earthquake-southern-sumatra-indonesia-on-march-9-2014/","OS Indonesia, Java")</f>
        <v>OS Indonesia, Java</v>
      </c>
      <c r="C69" s="309">
        <v>5.4</v>
      </c>
      <c r="D69" s="309">
        <v>50</v>
      </c>
      <c r="E69" s="309"/>
      <c r="F69" s="310" t="s">
        <v>23</v>
      </c>
      <c r="G69" s="311" t="s">
        <v>23</v>
      </c>
      <c r="H69" s="312">
        <v>2</v>
      </c>
      <c r="I69" s="313" t="s">
        <v>23</v>
      </c>
    </row>
    <row r="70" spans="1:9" ht="12.3">
      <c r="A70" s="307">
        <v>41708</v>
      </c>
      <c r="B70" s="308" t="str">
        <f>HYPERLINK("http://earthquake-report.com/2014/03/10/minor-earthquake-ferndale-california-on-march-10-2014/","OS USA, California")</f>
        <v>OS USA, California</v>
      </c>
      <c r="C70" s="314">
        <v>6.9</v>
      </c>
      <c r="D70" s="309">
        <v>16</v>
      </c>
      <c r="E70" s="309" t="s">
        <v>134</v>
      </c>
      <c r="F70" s="310" t="s">
        <v>23</v>
      </c>
      <c r="G70" s="311" t="s">
        <v>23</v>
      </c>
      <c r="H70" s="312" t="s">
        <v>1478</v>
      </c>
      <c r="I70" s="313" t="s">
        <v>23</v>
      </c>
    </row>
    <row r="71" spans="1:9" ht="12.3">
      <c r="A71" s="307">
        <v>41709</v>
      </c>
      <c r="B71" s="308" t="str">
        <f>HYPERLINK("http://earthquake-report.com/2014/03/11/moderate-earthquake-morocco-on-march-11-2014/","Morocco")</f>
        <v>Morocco</v>
      </c>
      <c r="C71" s="309">
        <v>4.5</v>
      </c>
      <c r="D71" s="309">
        <v>51</v>
      </c>
      <c r="E71" s="309"/>
      <c r="F71" s="310" t="s">
        <v>23</v>
      </c>
      <c r="G71" s="311" t="s">
        <v>23</v>
      </c>
      <c r="H71" s="312">
        <v>2</v>
      </c>
      <c r="I71" s="313" t="s">
        <v>23</v>
      </c>
    </row>
    <row r="72" spans="1:9" ht="12.3">
      <c r="A72" s="307">
        <v>41710</v>
      </c>
      <c r="B72" s="308" t="str">
        <f>HYPERLINK("http://earthquake-report.com/2014/03/12/moderate-earthquake-marahare-comoros-on-march-12-2014/","Comores")</f>
        <v>Comores</v>
      </c>
      <c r="C72" s="309">
        <v>4.7</v>
      </c>
      <c r="D72" s="309"/>
      <c r="E72" s="309"/>
      <c r="F72" s="310" t="s">
        <v>23</v>
      </c>
      <c r="G72" s="311" t="s">
        <v>23</v>
      </c>
      <c r="H72" s="312">
        <v>1</v>
      </c>
      <c r="I72" s="313" t="s">
        <v>23</v>
      </c>
    </row>
    <row r="73" spans="1:9" ht="12.3">
      <c r="A73" s="307">
        <v>41710</v>
      </c>
      <c r="B73" s="308" t="str">
        <f>HYPERLINK("http://earthquake-report.com/2014/03/12/minor-earthquake-anthony-kansas-on-march-12-2014-2/","USA, Kansas")</f>
        <v>USA, Kansas</v>
      </c>
      <c r="C73" s="309" t="s">
        <v>1572</v>
      </c>
      <c r="D73" s="309"/>
      <c r="E73" s="309"/>
      <c r="F73" s="310" t="s">
        <v>23</v>
      </c>
      <c r="G73" s="311" t="s">
        <v>23</v>
      </c>
      <c r="H73" s="312">
        <v>1</v>
      </c>
      <c r="I73" s="313" t="s">
        <v>23</v>
      </c>
    </row>
    <row r="74" spans="1:9" ht="12.3">
      <c r="A74" s="307">
        <v>41711</v>
      </c>
      <c r="B74" s="301" t="str">
        <f>HYPERLINK("http://earthquake-report.com/2014/03/13/very-strong-earthquake-kyushu-japan-on-march-13-2014/","OS Japan, Kyushu")</f>
        <v>OS Japan, Kyushu</v>
      </c>
      <c r="C74" s="314">
        <v>6.1</v>
      </c>
      <c r="D74" s="309">
        <v>80</v>
      </c>
      <c r="E74" s="309" t="s">
        <v>1778</v>
      </c>
      <c r="F74" s="310" t="s">
        <v>23</v>
      </c>
      <c r="G74" s="311">
        <v>21</v>
      </c>
      <c r="H74" s="312" t="s">
        <v>1511</v>
      </c>
      <c r="I74" s="313" t="s">
        <v>23</v>
      </c>
    </row>
    <row r="75" spans="1:9" ht="12.3">
      <c r="A75" s="320" t="s">
        <v>1896</v>
      </c>
      <c r="B75" s="309" t="s">
        <v>1899</v>
      </c>
      <c r="C75" s="309" t="s">
        <v>1900</v>
      </c>
      <c r="D75" s="309"/>
      <c r="E75" s="309"/>
      <c r="F75" s="310" t="s">
        <v>23</v>
      </c>
      <c r="G75" s="311" t="s">
        <v>23</v>
      </c>
      <c r="H75" s="312" t="s">
        <v>1478</v>
      </c>
      <c r="I75" s="313" t="s">
        <v>23</v>
      </c>
    </row>
    <row r="76" spans="1:9" ht="12.3">
      <c r="A76" s="307">
        <v>41713</v>
      </c>
      <c r="B76" s="308" t="str">
        <f>HYPERLINK("http://wp.me/p1bAUO-sjU","Colombia, Cesar")</f>
        <v>Colombia, Cesar</v>
      </c>
      <c r="C76" s="314">
        <v>5.5</v>
      </c>
      <c r="D76" s="309">
        <v>130</v>
      </c>
      <c r="E76" s="309" t="s">
        <v>134</v>
      </c>
      <c r="F76" s="310" t="s">
        <v>23</v>
      </c>
      <c r="G76" s="311" t="s">
        <v>23</v>
      </c>
      <c r="H76" s="312">
        <v>2</v>
      </c>
      <c r="I76" s="313" t="s">
        <v>23</v>
      </c>
    </row>
    <row r="77" spans="1:9" ht="12.3">
      <c r="A77" s="307">
        <v>41713</v>
      </c>
      <c r="B77" s="301" t="str">
        <f>HYPERLINK("http://earthquake-report.com/2014/03/15/very-strong-earthquake-near-coast-of-peru-on-march-15-2014/","OS Peru, Ica")</f>
        <v>OS Peru, Ica</v>
      </c>
      <c r="C77" s="314">
        <v>6.2</v>
      </c>
      <c r="D77" s="309">
        <v>35</v>
      </c>
      <c r="E77" s="309"/>
      <c r="F77" s="310" t="s">
        <v>23</v>
      </c>
      <c r="G77" s="311">
        <v>1</v>
      </c>
      <c r="H77" s="312" t="s">
        <v>23</v>
      </c>
      <c r="I77" s="313" t="s">
        <v>23</v>
      </c>
    </row>
    <row r="78" spans="1:9" ht="12.3">
      <c r="A78" s="307">
        <v>41713</v>
      </c>
      <c r="B78" s="308" t="str">
        <f>HYPERLINK("http://earthquake-report.com/2014/03/16/very-strong-earthquake-near-coast-of-northern-peru-on-march-15-2014/","OS Peru, Piura")</f>
        <v>OS Peru, Piura</v>
      </c>
      <c r="C78" s="314" t="s">
        <v>525</v>
      </c>
      <c r="D78" s="309"/>
      <c r="E78" s="309"/>
      <c r="F78" s="310" t="s">
        <v>23</v>
      </c>
      <c r="G78" s="311" t="s">
        <v>23</v>
      </c>
      <c r="H78" s="312">
        <v>2</v>
      </c>
      <c r="I78" s="313" t="s">
        <v>23</v>
      </c>
    </row>
    <row r="79" spans="1:9" ht="12.3">
      <c r="A79" s="307">
        <v>41714</v>
      </c>
      <c r="B79" s="308" t="str">
        <f>HYPERLINK("http://earthquake-report.com/2014/03/16/moderate-earthquake-kyzyl-suu-kyrgyzstan-on-march-16-2014/","Kyrgyztan")</f>
        <v>Kyrgyztan</v>
      </c>
      <c r="C79" s="309">
        <v>5.0999999999999996</v>
      </c>
      <c r="D79" s="309"/>
      <c r="E79" s="309"/>
      <c r="F79" s="310" t="s">
        <v>23</v>
      </c>
      <c r="G79" s="311" t="s">
        <v>23</v>
      </c>
      <c r="H79" s="312" t="s">
        <v>1478</v>
      </c>
      <c r="I79" s="313" t="s">
        <v>23</v>
      </c>
    </row>
    <row r="80" spans="1:9" ht="12.3">
      <c r="A80" s="307">
        <v>41714</v>
      </c>
      <c r="B80" s="308" t="str">
        <f>HYPERLINK("http://earthquake-report.com/2014/03/16/moderate-earthquake-southern-iran-on-march-16-2014/","Iran, Kerman")</f>
        <v>Iran, Kerman</v>
      </c>
      <c r="C80" s="309">
        <v>4.5</v>
      </c>
      <c r="D80" s="309">
        <v>5</v>
      </c>
      <c r="E80" s="309"/>
      <c r="F80" s="310" t="s">
        <v>23</v>
      </c>
      <c r="G80" s="311" t="s">
        <v>23</v>
      </c>
      <c r="H80" s="312">
        <v>2</v>
      </c>
      <c r="I80" s="313" t="s">
        <v>23</v>
      </c>
    </row>
    <row r="81" spans="1:9" ht="12.3">
      <c r="A81" s="307">
        <v>41714</v>
      </c>
      <c r="B81" s="308" t="str">
        <f>HYPERLINK("http://earthquake-report.com/2014/03/16/moderate-earthquake-sechura-peru-on-march-16-2014-6/","OS Peru, Piura (aftershock)")</f>
        <v>OS Peru, Piura (aftershock)</v>
      </c>
      <c r="C81" s="309">
        <v>4.2</v>
      </c>
      <c r="D81" s="309"/>
      <c r="E81" s="309"/>
      <c r="F81" s="310" t="s">
        <v>23</v>
      </c>
      <c r="G81" s="311" t="s">
        <v>23</v>
      </c>
      <c r="H81" s="312" t="s">
        <v>1478</v>
      </c>
      <c r="I81" s="313" t="s">
        <v>23</v>
      </c>
    </row>
    <row r="82" spans="1:9" ht="12.3">
      <c r="A82" s="307">
        <v>41714</v>
      </c>
      <c r="B82" s="308" t="str">
        <f>HYPERLINK("http://earthquake-report.com/2014/03/16/very-strong-earthquake-iquique-chile-on-march-16-2014/","OS Chile, Tarapaca")</f>
        <v>OS Chile, Tarapaca</v>
      </c>
      <c r="C82" s="314">
        <v>6.5</v>
      </c>
      <c r="D82" s="309"/>
      <c r="E82" s="309" t="s">
        <v>35</v>
      </c>
      <c r="F82" s="310" t="s">
        <v>23</v>
      </c>
      <c r="G82" s="311" t="s">
        <v>23</v>
      </c>
      <c r="H82" s="312">
        <v>1</v>
      </c>
      <c r="I82" s="313" t="s">
        <v>1901</v>
      </c>
    </row>
    <row r="83" spans="1:9" ht="12.3">
      <c r="A83" s="307">
        <v>41715</v>
      </c>
      <c r="B83" s="308" t="str">
        <f>HYPERLINK("http://earthquake-report.com/2014/03/17/minor-earthquake-poland-on-march-17-2014-2/","Poland")</f>
        <v>Poland</v>
      </c>
      <c r="C83" s="309" t="s">
        <v>1822</v>
      </c>
      <c r="D83" s="309">
        <v>1</v>
      </c>
      <c r="E83" s="309"/>
      <c r="F83" s="310" t="s">
        <v>23</v>
      </c>
      <c r="G83" s="311" t="s">
        <v>23</v>
      </c>
      <c r="H83" s="312">
        <v>2</v>
      </c>
      <c r="I83" s="313" t="s">
        <v>23</v>
      </c>
    </row>
    <row r="84" spans="1:9" ht="12.3">
      <c r="A84" s="307">
        <v>41715</v>
      </c>
      <c r="B84" s="309" t="s">
        <v>915</v>
      </c>
      <c r="C84" s="309">
        <v>3.2</v>
      </c>
      <c r="D84" s="309"/>
      <c r="E84" s="309" t="s">
        <v>134</v>
      </c>
      <c r="F84" s="310" t="s">
        <v>23</v>
      </c>
      <c r="G84" s="311" t="s">
        <v>23</v>
      </c>
      <c r="H84" s="312">
        <v>1</v>
      </c>
      <c r="I84" s="313" t="s">
        <v>23</v>
      </c>
    </row>
    <row r="85" spans="1:9" ht="12.3">
      <c r="A85" s="307">
        <v>41716</v>
      </c>
      <c r="B85" s="308" t="str">
        <f>HYPERLINK("http://earthquake-report.com/2014/03/19/moderate-earthquake-general-teran-mexico-on-march-18-2014/","Mexico, Nuevo Leon")</f>
        <v>Mexico, Nuevo Leon</v>
      </c>
      <c r="C85" s="309" t="s">
        <v>486</v>
      </c>
      <c r="D85" s="309"/>
      <c r="E85" s="309"/>
      <c r="F85" s="310" t="s">
        <v>23</v>
      </c>
      <c r="G85" s="311" t="s">
        <v>23</v>
      </c>
      <c r="H85" s="312" t="s">
        <v>1478</v>
      </c>
      <c r="I85" s="313" t="s">
        <v>23</v>
      </c>
    </row>
    <row r="86" spans="1:9" ht="12.3">
      <c r="A86" s="307">
        <v>41718</v>
      </c>
      <c r="B86" s="301" t="str">
        <f>HYPERLINK("http://earthquake-report.com/2014/03/21/moderate-earthquake-bir-el-djir-algeria-on-march-20-2014/","OS Algeria, Oran")</f>
        <v>OS Algeria, Oran</v>
      </c>
      <c r="C86" s="309">
        <v>4.3</v>
      </c>
      <c r="D86" s="309"/>
      <c r="E86" s="309"/>
      <c r="F86" s="310" t="s">
        <v>23</v>
      </c>
      <c r="G86" s="311">
        <v>12</v>
      </c>
      <c r="H86" s="312" t="s">
        <v>23</v>
      </c>
      <c r="I86" s="313" t="s">
        <v>23</v>
      </c>
    </row>
    <row r="87" spans="1:9" ht="12.3">
      <c r="A87" s="307">
        <v>41721</v>
      </c>
      <c r="B87" s="308" t="str">
        <f>HYPERLINK("http://earthquake-report.com/2014/03/23/moderate-earthquake-valledupar-colombia-on-march-23-2014/","Colombia, Cesar")</f>
        <v>Colombia, Cesar</v>
      </c>
      <c r="C87" s="309">
        <v>4.4000000000000004</v>
      </c>
      <c r="D87" s="309">
        <v>7</v>
      </c>
      <c r="E87" s="309" t="s">
        <v>684</v>
      </c>
      <c r="F87" s="310" t="s">
        <v>23</v>
      </c>
      <c r="G87" s="311" t="s">
        <v>23</v>
      </c>
      <c r="H87" s="312">
        <v>1</v>
      </c>
      <c r="I87" s="313" t="s">
        <v>23</v>
      </c>
    </row>
    <row r="88" spans="1:9" ht="12.3">
      <c r="A88" s="307">
        <v>41721</v>
      </c>
      <c r="B88" s="308" t="str">
        <f>HYPERLINK("http://earthquake-report.com/2014/03/23/very-strong-earthquake-near-coast-of-northern-chile-on-march-23-2014-2/","OS Chile, Tarapaca")</f>
        <v>OS Chile, Tarapaca</v>
      </c>
      <c r="C88" s="314">
        <v>6.2</v>
      </c>
      <c r="D88" s="309"/>
      <c r="E88" s="309"/>
      <c r="F88" s="310" t="s">
        <v>23</v>
      </c>
      <c r="G88" s="311" t="s">
        <v>23</v>
      </c>
      <c r="H88" s="312">
        <v>1</v>
      </c>
      <c r="I88" s="313" t="s">
        <v>23</v>
      </c>
    </row>
    <row r="89" spans="1:9" ht="12.3">
      <c r="A89" s="307">
        <v>41722</v>
      </c>
      <c r="B89" s="308" t="str">
        <f>HYPERLINK("http://earthquake-report.com/2014/03/24/moderate-earthquake-sulawesi-indonesia-on-march-24-2014/","Indonesia, Sulawesi Tengah")</f>
        <v>Indonesia, Sulawesi Tengah</v>
      </c>
      <c r="C89" s="309">
        <v>4.5999999999999996</v>
      </c>
      <c r="D89" s="309"/>
      <c r="E89" s="309"/>
      <c r="F89" s="310" t="s">
        <v>23</v>
      </c>
      <c r="G89" s="311" t="s">
        <v>23</v>
      </c>
      <c r="H89" s="312">
        <v>1</v>
      </c>
      <c r="I89" s="313" t="s">
        <v>23</v>
      </c>
    </row>
    <row r="90" spans="1:9" ht="12.3">
      <c r="A90" s="307">
        <v>41723</v>
      </c>
      <c r="B90" s="301" t="str">
        <f>HYPERLINK("http://earthquake-report.com/2014/03/25/moderate-earthquake-near-coast-of-ecuador-on-march-25-2014/","Ecuador")</f>
        <v>Ecuador</v>
      </c>
      <c r="C90" s="314">
        <v>5.6</v>
      </c>
      <c r="D90" s="309"/>
      <c r="E90" s="309"/>
      <c r="F90" s="310" t="s">
        <v>23</v>
      </c>
      <c r="G90" s="311" t="s">
        <v>23</v>
      </c>
      <c r="H90" s="312">
        <v>2</v>
      </c>
      <c r="I90" s="313" t="s">
        <v>23</v>
      </c>
    </row>
    <row r="91" spans="1:9" ht="12.3">
      <c r="A91" s="307">
        <v>41723</v>
      </c>
      <c r="B91" s="308" t="str">
        <f>HYPERLINK("http://earthquake-report.com/2014/03/30/moderate-earthquake-southern-peru-on-march-25-2014/","Peru, Arequipa")</f>
        <v>Peru, Arequipa</v>
      </c>
      <c r="C91" s="309">
        <v>4.5</v>
      </c>
      <c r="D91" s="309">
        <v>67</v>
      </c>
      <c r="E91" s="309"/>
      <c r="F91" s="310" t="s">
        <v>23</v>
      </c>
      <c r="G91" s="311" t="s">
        <v>23</v>
      </c>
      <c r="H91" s="312">
        <v>1</v>
      </c>
      <c r="I91" s="313" t="s">
        <v>23</v>
      </c>
    </row>
    <row r="92" spans="1:9" ht="12.3">
      <c r="A92" s="307">
        <v>41724</v>
      </c>
      <c r="B92" s="308" t="str">
        <f>HYPERLINK("http://earthquake-report.com/2014/03/30/moderate-earthquake-eastern-turkey-on-march-26-2014/","Turkey, Malatya")</f>
        <v>Turkey, Malatya</v>
      </c>
      <c r="C92" s="309">
        <v>4.0999999999999996</v>
      </c>
      <c r="D92" s="309">
        <v>4</v>
      </c>
      <c r="E92" s="309"/>
      <c r="F92" s="310" t="s">
        <v>23</v>
      </c>
      <c r="G92" s="311" t="s">
        <v>23</v>
      </c>
      <c r="H92" s="312" t="s">
        <v>1478</v>
      </c>
      <c r="I92" s="313" t="s">
        <v>23</v>
      </c>
    </row>
    <row r="93" spans="1:9" ht="12.3">
      <c r="A93" s="307">
        <v>41724</v>
      </c>
      <c r="B93" s="308" t="str">
        <f>HYPERLINK("http://earthquake-report.com/2014/03/30/moderate-earthquake-maoping-china-on-march-26-2014/","China, Hubei")</f>
        <v>China, Hubei</v>
      </c>
      <c r="C93" s="309">
        <v>4.2</v>
      </c>
      <c r="D93" s="309">
        <v>5</v>
      </c>
      <c r="E93" s="309"/>
      <c r="F93" s="310" t="s">
        <v>23</v>
      </c>
      <c r="G93" s="311" t="s">
        <v>23</v>
      </c>
      <c r="H93" s="312">
        <v>2</v>
      </c>
      <c r="I93" s="313" t="s">
        <v>23</v>
      </c>
    </row>
    <row r="94" spans="1:9" ht="12.3">
      <c r="A94" s="307">
        <v>41726</v>
      </c>
      <c r="B94" s="308" t="str">
        <f>HYPERLINK("http://earthquake-report.com/2014/03/30/strong-earthquake-near-coast-of-nicaragua-on-march-28-2014-2/","OS Nicaragua")</f>
        <v>OS Nicaragua</v>
      </c>
      <c r="C94" s="309">
        <v>5.2</v>
      </c>
      <c r="D94" s="309"/>
      <c r="E94" s="309"/>
      <c r="F94" s="310" t="s">
        <v>23</v>
      </c>
      <c r="G94" s="311" t="s">
        <v>23</v>
      </c>
      <c r="H94" s="312">
        <v>1</v>
      </c>
      <c r="I94" s="313" t="s">
        <v>23</v>
      </c>
    </row>
    <row r="95" spans="1:9" ht="12.3">
      <c r="A95" s="307">
        <v>41727</v>
      </c>
      <c r="B95" s="301" t="str">
        <f>HYPERLINK("http://earthquake-report.com/2014/03/29/earthquakes-in-the-world-on-march-29-2014-m4-5-or-more/","USA, California (Los Angeles Area)")</f>
        <v>USA, California (Los Angeles Area)</v>
      </c>
      <c r="C95" s="309">
        <v>5.0999999999999996</v>
      </c>
      <c r="D95" s="309">
        <v>2</v>
      </c>
      <c r="E95" s="309" t="s">
        <v>363</v>
      </c>
      <c r="F95" s="310" t="s">
        <v>23</v>
      </c>
      <c r="G95" s="311">
        <v>1</v>
      </c>
      <c r="H95" s="312">
        <v>2</v>
      </c>
      <c r="I95" s="313" t="s">
        <v>23</v>
      </c>
    </row>
    <row r="96" spans="1:9" ht="12.3">
      <c r="A96" s="307">
        <v>41727</v>
      </c>
      <c r="B96" s="301" t="str">
        <f>HYPERLINK("http://earthquake-report.com/2014/03/30/moderate-earthquake-maoping-china-on-march-29-2014/","China, Hubei")</f>
        <v>China, Hubei</v>
      </c>
      <c r="C96" s="309">
        <v>4.7</v>
      </c>
      <c r="D96" s="309">
        <v>5</v>
      </c>
      <c r="E96" s="309"/>
      <c r="F96" s="310" t="s">
        <v>23</v>
      </c>
      <c r="G96" s="311" t="s">
        <v>23</v>
      </c>
      <c r="H96" s="312" t="s">
        <v>1511</v>
      </c>
      <c r="I96" s="313" t="s">
        <v>23</v>
      </c>
    </row>
    <row r="97" spans="1:9" ht="12.3">
      <c r="A97" s="307">
        <v>41727</v>
      </c>
      <c r="B97" s="308" t="str">
        <f>HYPERLINK("http://earthquake-report.com/2014/03/30/moderate-earthquake-rowland-heights-california-on-march-29-2014/","USA, California (Los Angeles area, aftershock)")</f>
        <v>USA, California (Los Angeles area, aftershock)</v>
      </c>
      <c r="C97" s="309">
        <v>4.0999999999999996</v>
      </c>
      <c r="D97" s="309">
        <v>1</v>
      </c>
      <c r="E97" s="309" t="s">
        <v>35</v>
      </c>
      <c r="F97" s="310" t="s">
        <v>23</v>
      </c>
      <c r="G97" s="311" t="s">
        <v>23</v>
      </c>
      <c r="H97" s="312">
        <v>1</v>
      </c>
      <c r="I97" s="313" t="s">
        <v>23</v>
      </c>
    </row>
    <row r="98" spans="1:9" ht="12.3">
      <c r="A98" s="307">
        <v>41728</v>
      </c>
      <c r="B98" s="308" t="str">
        <f>HYPERLINK("http://earthquake-report.com/2014/03/30/moderate-earthquake-crescent-oklahoma-on-march-30-2014-3/","USA, Oklahoma")</f>
        <v>USA, Oklahoma</v>
      </c>
      <c r="C98" s="309">
        <v>4.3</v>
      </c>
      <c r="D98" s="309">
        <v>5</v>
      </c>
      <c r="E98" s="309" t="s">
        <v>1364</v>
      </c>
      <c r="F98" s="310" t="s">
        <v>23</v>
      </c>
      <c r="G98" s="311" t="s">
        <v>23</v>
      </c>
      <c r="H98" s="312">
        <v>1</v>
      </c>
      <c r="I98" s="313" t="s">
        <v>23</v>
      </c>
    </row>
    <row r="99" spans="1:9" ht="12.3">
      <c r="A99" s="307">
        <v>41728</v>
      </c>
      <c r="B99" s="308" t="str">
        <f>HYPERLINK("http://earthquake-report.com/2014/03/30/minor-earthquake-germany-on-march-30-2014/","Germany, Hessen")</f>
        <v>Germany, Hessen</v>
      </c>
      <c r="C99" s="309">
        <v>3.2</v>
      </c>
      <c r="D99" s="309">
        <v>8</v>
      </c>
      <c r="E99" s="309"/>
      <c r="F99" s="310" t="s">
        <v>23</v>
      </c>
      <c r="G99" s="311" t="s">
        <v>23</v>
      </c>
      <c r="H99" s="312">
        <v>1</v>
      </c>
      <c r="I99" s="313" t="s">
        <v>23</v>
      </c>
    </row>
    <row r="100" spans="1:9" ht="12.3">
      <c r="A100" s="307">
        <v>41728</v>
      </c>
      <c r="B100" s="308" t="str">
        <f>HYPERLINK("http://earthquake-report.com/2014/03/30/moderate-earthquake-xizang-on-march-30-2014/","China, Xizang")</f>
        <v>China, Xizang</v>
      </c>
      <c r="C100" s="314">
        <v>5.5</v>
      </c>
      <c r="D100" s="309">
        <v>10</v>
      </c>
      <c r="E100" s="309"/>
      <c r="F100" s="310" t="s">
        <v>23</v>
      </c>
      <c r="G100" s="311" t="s">
        <v>23</v>
      </c>
      <c r="H100" s="312">
        <v>2</v>
      </c>
      <c r="I100" s="313" t="s">
        <v>23</v>
      </c>
    </row>
    <row r="101" spans="1:9" ht="12.3">
      <c r="A101" s="307">
        <v>41729</v>
      </c>
      <c r="B101" s="308" t="str">
        <f>HYPERLINK("http://earthquake-report.com/2014/03/31/moderate-earthquake-southern-sumatra-indonesia-on-march-31-2014-2/","Indonesia, Sumatra")</f>
        <v>Indonesia, Sumatra</v>
      </c>
      <c r="C101" s="309">
        <v>5.4</v>
      </c>
      <c r="D101" s="309">
        <v>10</v>
      </c>
      <c r="E101" s="309"/>
      <c r="F101" s="310" t="s">
        <v>23</v>
      </c>
      <c r="G101" s="311" t="s">
        <v>23</v>
      </c>
      <c r="H101" s="312">
        <v>2</v>
      </c>
      <c r="I101" s="313" t="s">
        <v>23</v>
      </c>
    </row>
    <row r="102" spans="1:9" ht="12.3">
      <c r="A102" s="307">
        <v>41729</v>
      </c>
      <c r="B102" s="308" t="str">
        <f>HYPERLINK("http://earthquake-report.com/2014/03/31/strong-earthquake-eastern-new-guinea-reg-p-n-g-on-march-31-2014/","Papua New Guinea")</f>
        <v>Papua New Guinea</v>
      </c>
      <c r="C102" s="314">
        <v>5.6</v>
      </c>
      <c r="D102" s="309"/>
      <c r="E102" s="309" t="s">
        <v>123</v>
      </c>
      <c r="F102" s="310" t="s">
        <v>23</v>
      </c>
      <c r="G102" s="311" t="s">
        <v>23</v>
      </c>
      <c r="H102" s="312" t="s">
        <v>1902</v>
      </c>
      <c r="I102" s="313" t="s">
        <v>23</v>
      </c>
    </row>
    <row r="103" spans="1:9" ht="12.3">
      <c r="A103" s="307">
        <v>41730</v>
      </c>
      <c r="B103" s="308" t="str">
        <f>HYPERLINK("http://earthquake-report.com/2014/04/01/moderate-earthquake-southern-iran-on-april-1-2014/","Iran, Kerman")</f>
        <v>Iran, Kerman</v>
      </c>
      <c r="C103" s="309">
        <v>4.4000000000000004</v>
      </c>
      <c r="D103" s="309">
        <v>10</v>
      </c>
      <c r="E103" s="309" t="s">
        <v>35</v>
      </c>
      <c r="F103" s="310" t="s">
        <v>23</v>
      </c>
      <c r="G103" s="311" t="s">
        <v>23</v>
      </c>
      <c r="H103" s="312" t="s">
        <v>1478</v>
      </c>
      <c r="I103" s="313" t="s">
        <v>23</v>
      </c>
    </row>
    <row r="104" spans="1:9" ht="12.3">
      <c r="A104" s="300">
        <v>41730</v>
      </c>
      <c r="B104" s="301" t="str">
        <f>HYPERLINK("http://earthquake-report.com/2014/04/01/massive-earthquake-offshore-tarapaca-chile-on-april-1-2014/","OS Chile, Tarapaca")</f>
        <v>OS Chile, Tarapaca</v>
      </c>
      <c r="C104" s="302">
        <v>8.1999999999999993</v>
      </c>
      <c r="D104" s="302">
        <v>20</v>
      </c>
      <c r="E104" s="302" t="s">
        <v>123</v>
      </c>
      <c r="F104" s="303">
        <v>7</v>
      </c>
      <c r="G104" s="321">
        <v>28</v>
      </c>
      <c r="H104" s="305" t="s">
        <v>1653</v>
      </c>
      <c r="I104" s="306" t="s">
        <v>1903</v>
      </c>
    </row>
    <row r="105" spans="1:9" ht="12.3">
      <c r="A105" s="307">
        <v>41730</v>
      </c>
      <c r="B105" s="308" t="str">
        <f>HYPERLINK("http://earthquake-report.com/2014/04/22/minor-earthquake-montes-clar0s-brazil-on-april-1-2014/","Brazil, Minas Gerais")</f>
        <v>Brazil, Minas Gerais</v>
      </c>
      <c r="C105" s="309">
        <v>3.4</v>
      </c>
      <c r="D105" s="309"/>
      <c r="E105" s="309"/>
      <c r="F105" s="310" t="s">
        <v>23</v>
      </c>
      <c r="G105" s="311" t="s">
        <v>23</v>
      </c>
      <c r="H105" s="312">
        <v>1</v>
      </c>
      <c r="I105" s="313" t="s">
        <v>23</v>
      </c>
    </row>
    <row r="106" spans="1:9" ht="12.3">
      <c r="A106" s="307">
        <v>41731</v>
      </c>
      <c r="B106" s="308" t="str">
        <f>HYPERLINK("http://wp.me/p1bAUO-sWk","Indonesia, Java")</f>
        <v>Indonesia, Java</v>
      </c>
      <c r="C106" s="309">
        <v>4.5</v>
      </c>
      <c r="D106" s="309"/>
      <c r="E106" s="309"/>
      <c r="F106" s="310" t="s">
        <v>23</v>
      </c>
      <c r="G106" s="311" t="s">
        <v>23</v>
      </c>
      <c r="H106" s="312">
        <v>2</v>
      </c>
      <c r="I106" s="313" t="s">
        <v>23</v>
      </c>
    </row>
    <row r="107" spans="1:9" ht="12.3">
      <c r="A107" s="307">
        <v>41731</v>
      </c>
      <c r="B107" s="309" t="s">
        <v>67</v>
      </c>
      <c r="C107" s="309" t="s">
        <v>1894</v>
      </c>
      <c r="D107" s="309">
        <v>1</v>
      </c>
      <c r="E107" s="309"/>
      <c r="F107" s="310" t="s">
        <v>23</v>
      </c>
      <c r="G107" s="311">
        <v>3</v>
      </c>
      <c r="H107" s="312"/>
      <c r="I107" s="313" t="s">
        <v>23</v>
      </c>
    </row>
    <row r="108" spans="1:9" ht="12.3">
      <c r="A108" s="307">
        <v>41731</v>
      </c>
      <c r="B108" s="308" t="str">
        <f>HYPERLINK("http://earthquake-report.com/2014/04/02/very-strong-earthquake-south-of-panama-on-april-2-2014/","OS Panama")</f>
        <v>OS Panama</v>
      </c>
      <c r="C108" s="314">
        <v>5.8</v>
      </c>
      <c r="D108" s="309"/>
      <c r="E108" s="309" t="s">
        <v>134</v>
      </c>
      <c r="F108" s="310" t="s">
        <v>23</v>
      </c>
      <c r="G108" s="311" t="s">
        <v>23</v>
      </c>
      <c r="H108" s="312" t="s">
        <v>1478</v>
      </c>
      <c r="I108" s="313" t="s">
        <v>23</v>
      </c>
    </row>
    <row r="109" spans="1:9" ht="12.3">
      <c r="A109" s="300">
        <v>41732</v>
      </c>
      <c r="B109" s="302" t="s">
        <v>1904</v>
      </c>
      <c r="C109" s="302">
        <v>7.6</v>
      </c>
      <c r="D109" s="302">
        <v>28</v>
      </c>
      <c r="E109" s="302" t="s">
        <v>363</v>
      </c>
      <c r="F109" s="303">
        <v>2</v>
      </c>
      <c r="G109" s="321"/>
      <c r="H109" s="305">
        <v>3</v>
      </c>
      <c r="I109" s="306" t="s">
        <v>1905</v>
      </c>
    </row>
    <row r="110" spans="1:9" ht="12.3">
      <c r="A110" s="307">
        <v>41732</v>
      </c>
      <c r="B110" s="308" t="str">
        <f>HYPERLINK("http://earthquake-report.com/2014/04/03/moderate-earthquake-shandong-china-on-april-3-2014-2/","China, Shandong")</f>
        <v>China, Shandong</v>
      </c>
      <c r="C110" s="309">
        <v>4</v>
      </c>
      <c r="D110" s="309">
        <v>9</v>
      </c>
      <c r="E110" s="309"/>
      <c r="F110" s="310" t="s">
        <v>23</v>
      </c>
      <c r="G110" s="311" t="s">
        <v>23</v>
      </c>
      <c r="H110" s="312" t="s">
        <v>1478</v>
      </c>
      <c r="I110" s="313" t="s">
        <v>23</v>
      </c>
    </row>
    <row r="111" spans="1:9" ht="12.3">
      <c r="A111" s="307">
        <v>41733</v>
      </c>
      <c r="B111" s="308" t="str">
        <f>HYPERLINK("http://earthquake-report.com/2014/04/04/very-strong-earthquake-solomon-islands-on-april-4-2014-2/","Solomon Islands")</f>
        <v>Solomon Islands</v>
      </c>
      <c r="C111" s="314">
        <v>6.1</v>
      </c>
      <c r="D111" s="309">
        <v>90</v>
      </c>
      <c r="E111" s="309" t="s">
        <v>35</v>
      </c>
      <c r="F111" s="310" t="s">
        <v>23</v>
      </c>
      <c r="G111" s="311" t="s">
        <v>23</v>
      </c>
      <c r="H111" s="312">
        <v>2</v>
      </c>
      <c r="I111" s="313" t="s">
        <v>23</v>
      </c>
    </row>
    <row r="112" spans="1:9" ht="12.3">
      <c r="A112" s="307">
        <v>41733</v>
      </c>
      <c r="B112" s="308" t="str">
        <f>HYPERLINK("http://earthquake-report.com/2014/04/04/strong-earthquake-southern-greece-on-april-4-2014/","OS Greece, Peloponnese")</f>
        <v>OS Greece, Peloponnese</v>
      </c>
      <c r="C112" s="309">
        <v>5.4</v>
      </c>
      <c r="D112" s="309">
        <v>111</v>
      </c>
      <c r="E112" s="309"/>
      <c r="F112" s="310" t="s">
        <v>23</v>
      </c>
      <c r="G112" s="311" t="s">
        <v>23</v>
      </c>
      <c r="H112" s="312" t="s">
        <v>1478</v>
      </c>
      <c r="I112" s="313" t="s">
        <v>23</v>
      </c>
    </row>
    <row r="113" spans="1:9" ht="12.3">
      <c r="A113" s="322">
        <v>41733</v>
      </c>
      <c r="B113" s="301" t="str">
        <f>HYPERLINK("http://wp.me/p1bAUO-t5j","China, Yunnan")</f>
        <v>China, Yunnan</v>
      </c>
      <c r="C113" s="314">
        <v>5.3</v>
      </c>
      <c r="D113" s="314">
        <v>13</v>
      </c>
      <c r="E113" s="314" t="s">
        <v>123</v>
      </c>
      <c r="F113" s="303" t="s">
        <v>23</v>
      </c>
      <c r="G113" s="304">
        <v>37</v>
      </c>
      <c r="H113" s="323">
        <v>5</v>
      </c>
      <c r="I113" s="315" t="s">
        <v>23</v>
      </c>
    </row>
    <row r="114" spans="1:9" ht="12.3">
      <c r="A114" s="307">
        <v>41734</v>
      </c>
      <c r="B114" s="308" t="str">
        <f>HYPERLINK("http://earthquake-report.com/2014/04/05/moderate-earthquake-southern-italy-on-april-5-2014/","OS Italy, Calabria")</f>
        <v>OS Italy, Calabria</v>
      </c>
      <c r="C114" s="309" t="s">
        <v>78</v>
      </c>
      <c r="D114" s="309">
        <v>66</v>
      </c>
      <c r="E114" s="309"/>
      <c r="F114" s="310" t="s">
        <v>23</v>
      </c>
      <c r="G114" s="311" t="s">
        <v>23</v>
      </c>
      <c r="H114" s="312" t="s">
        <v>1478</v>
      </c>
      <c r="I114" s="313" t="s">
        <v>23</v>
      </c>
    </row>
    <row r="115" spans="1:9" ht="12.3">
      <c r="A115" s="307">
        <v>41735</v>
      </c>
      <c r="B115" s="301" t="str">
        <f>HYPERLINK("http://earthquake-report.com/2014/04/06/earthquakes-in-the-world-on-april-6-2014-m2-9-or-more/","Brazil, Minas Gerais")</f>
        <v>Brazil, Minas Gerais</v>
      </c>
      <c r="C115" s="309">
        <v>4.2</v>
      </c>
      <c r="D115" s="309">
        <v>3</v>
      </c>
      <c r="E115" s="309"/>
      <c r="F115" s="310" t="s">
        <v>23</v>
      </c>
      <c r="G115" s="311">
        <v>1</v>
      </c>
      <c r="H115" s="312">
        <v>2</v>
      </c>
      <c r="I115" s="313" t="s">
        <v>23</v>
      </c>
    </row>
    <row r="116" spans="1:9" ht="12.3">
      <c r="A116" s="307">
        <v>41735</v>
      </c>
      <c r="B116" s="308" t="str">
        <f>HYPERLINK("http://earthquake-report.com/2014/04/06/moderate-earthquake-southwestern-siberia-russia-on-april-6-2014/","Russia, Altai")</f>
        <v>Russia, Altai</v>
      </c>
      <c r="C116" s="314">
        <v>5.7</v>
      </c>
      <c r="D116" s="309"/>
      <c r="E116" s="309"/>
      <c r="F116" s="310" t="s">
        <v>23</v>
      </c>
      <c r="G116" s="311" t="s">
        <v>23</v>
      </c>
      <c r="H116" s="312">
        <v>2</v>
      </c>
      <c r="I116" s="313" t="s">
        <v>23</v>
      </c>
    </row>
    <row r="117" spans="1:9" ht="12.3">
      <c r="A117" s="307">
        <v>41736</v>
      </c>
      <c r="B117" s="308" t="str">
        <f>HYPERLINK("http://earthquake-report.com/2014/04/07/minor-earthquake-sherwood-oregon-on-april-7-2014/","USA, Oregon")</f>
        <v>USA, Oregon</v>
      </c>
      <c r="C117" s="309">
        <v>3.3</v>
      </c>
      <c r="D117" s="309">
        <v>19</v>
      </c>
      <c r="E117" s="309" t="s">
        <v>684</v>
      </c>
      <c r="F117" s="310" t="s">
        <v>23</v>
      </c>
      <c r="G117" s="311" t="s">
        <v>23</v>
      </c>
      <c r="H117" s="312">
        <v>1</v>
      </c>
      <c r="I117" s="313" t="s">
        <v>23</v>
      </c>
    </row>
    <row r="118" spans="1:9" ht="12.3">
      <c r="A118" s="307">
        <v>41736</v>
      </c>
      <c r="B118" s="301" t="str">
        <f>HYPERLINK("http://earthquake-report.com/2014/04/07/moderate-earthquake-france-on-april-7-2014/","France, Alpes - Cote d'Azur")</f>
        <v>France, Alpes - Cote d'Azur</v>
      </c>
      <c r="C118" s="309" t="s">
        <v>78</v>
      </c>
      <c r="D118" s="309"/>
      <c r="E118" s="309"/>
      <c r="F118" s="310" t="s">
        <v>23</v>
      </c>
      <c r="G118" s="311" t="s">
        <v>23</v>
      </c>
      <c r="H118" s="312" t="s">
        <v>1511</v>
      </c>
      <c r="I118" s="313" t="s">
        <v>23</v>
      </c>
    </row>
    <row r="119" spans="1:9" ht="12.3">
      <c r="A119" s="307">
        <v>41737</v>
      </c>
      <c r="B119" s="308" t="str">
        <f>HYPERLINK("http://earthquake-report.com/2014/04/06/earthquakes-in-the-world-on-april-6-2014-m2-9-or-more/","Brazil, Minas Gerais")</f>
        <v>Brazil, Minas Gerais</v>
      </c>
      <c r="C119" s="309">
        <v>3.2</v>
      </c>
      <c r="D119" s="309"/>
      <c r="E119" s="309"/>
      <c r="F119" s="310" t="s">
        <v>23</v>
      </c>
      <c r="G119" s="311" t="s">
        <v>23</v>
      </c>
      <c r="H119" s="312">
        <v>1</v>
      </c>
      <c r="I119" s="313" t="s">
        <v>23</v>
      </c>
    </row>
    <row r="120" spans="1:9" ht="12.3">
      <c r="A120" s="300">
        <v>41739</v>
      </c>
      <c r="B120" s="301" t="str">
        <f>HYPERLINK("http://earthquake-report.com/2014/04/10/strong-earthquake-nicaragua-on-april-10-2014/","Nicaragua (Managua Area)")</f>
        <v>Nicaragua (Managua Area)</v>
      </c>
      <c r="C120" s="302">
        <v>6.1</v>
      </c>
      <c r="D120" s="302">
        <v>10</v>
      </c>
      <c r="E120" s="302" t="s">
        <v>363</v>
      </c>
      <c r="F120" s="303">
        <v>1</v>
      </c>
      <c r="G120" s="321">
        <v>266</v>
      </c>
      <c r="H120" s="305">
        <v>5</v>
      </c>
      <c r="I120" s="306" t="s">
        <v>23</v>
      </c>
    </row>
    <row r="121" spans="1:9" ht="12.3">
      <c r="A121" s="307">
        <v>41740</v>
      </c>
      <c r="B121" s="308" t="str">
        <f>HYPERLINK("http://earthquake-report.com/2014/04/11/moderate-earthquake-sichuan-china-on-april-11-2014/","China, Sichuan")</f>
        <v>China, Sichuan</v>
      </c>
      <c r="C121" s="309">
        <v>4.8</v>
      </c>
      <c r="D121" s="309">
        <v>17</v>
      </c>
      <c r="E121" s="309"/>
      <c r="F121" s="310" t="s">
        <v>23</v>
      </c>
      <c r="G121" s="311" t="s">
        <v>23</v>
      </c>
      <c r="H121" s="312" t="s">
        <v>1478</v>
      </c>
      <c r="I121" s="313" t="s">
        <v>23</v>
      </c>
    </row>
    <row r="122" spans="1:9" ht="12.3">
      <c r="A122" s="300">
        <v>41740</v>
      </c>
      <c r="B122" s="301" t="str">
        <f>HYPERLINK("http://earthquake-report.com/2014/04/11/very-strong-earthquake-solomon-islands-on-april-11-2014/","OS Papua New Guinea")</f>
        <v>OS Papua New Guinea</v>
      </c>
      <c r="C122" s="302">
        <v>7.3</v>
      </c>
      <c r="D122" s="302">
        <v>54</v>
      </c>
      <c r="E122" s="302" t="s">
        <v>363</v>
      </c>
      <c r="F122" s="303">
        <v>2</v>
      </c>
      <c r="G122" s="321"/>
      <c r="H122" s="305" t="s">
        <v>1508</v>
      </c>
      <c r="I122" s="306" t="s">
        <v>1906</v>
      </c>
    </row>
    <row r="123" spans="1:9" ht="12.3">
      <c r="A123" s="322">
        <v>41740</v>
      </c>
      <c r="B123" s="301" t="str">
        <f>HYPERLINK("http://earthquake-report.com/2014/04/11/very-strong-earthquake-near-coast-of-nicaragua-on-april-11-2014/","Nicaragua")</f>
        <v>Nicaragua</v>
      </c>
      <c r="C123" s="314">
        <v>6.6</v>
      </c>
      <c r="D123" s="309">
        <v>138</v>
      </c>
      <c r="E123" s="309" t="s">
        <v>365</v>
      </c>
      <c r="F123" s="310" t="s">
        <v>23</v>
      </c>
      <c r="G123" s="311" t="s">
        <v>23</v>
      </c>
      <c r="H123" s="312">
        <v>3</v>
      </c>
      <c r="I123" s="313" t="s">
        <v>23</v>
      </c>
    </row>
    <row r="124" spans="1:9" ht="12.3">
      <c r="A124" s="300">
        <v>41741</v>
      </c>
      <c r="B124" s="301" t="str">
        <f>HYPERLINK("http://earthquake-report.com/2014/04/12/massive-earthquake-kirakira-solomon-islands-on-april-12-2014/","OS Solomon Islands")</f>
        <v>OS Solomon Islands</v>
      </c>
      <c r="C124" s="302">
        <v>7.6</v>
      </c>
      <c r="D124" s="302">
        <v>34</v>
      </c>
      <c r="E124" s="302" t="s">
        <v>1299</v>
      </c>
      <c r="F124" s="303">
        <v>1</v>
      </c>
      <c r="G124" s="321" t="s">
        <v>1907</v>
      </c>
      <c r="H124" s="305">
        <v>3</v>
      </c>
      <c r="I124" s="306" t="s">
        <v>1294</v>
      </c>
    </row>
    <row r="125" spans="1:9" ht="12.3">
      <c r="A125" s="322">
        <v>41742</v>
      </c>
      <c r="B125" s="301" t="str">
        <f>HYPERLINK("http://earthquake-report.com/2014/04/13/massive-earthquake-solomon-islands-on-april-13-2014/","OS Solomon Islands")</f>
        <v>OS Solomon Islands</v>
      </c>
      <c r="C125" s="314">
        <v>7.4</v>
      </c>
      <c r="D125" s="309"/>
      <c r="E125" s="309" t="s">
        <v>123</v>
      </c>
      <c r="F125" s="310"/>
      <c r="G125" s="325"/>
      <c r="H125" s="312">
        <v>2</v>
      </c>
      <c r="I125" s="313" t="s">
        <v>1406</v>
      </c>
    </row>
    <row r="126" spans="1:9" ht="12.3">
      <c r="A126" s="300">
        <v>41743</v>
      </c>
      <c r="B126" s="301" t="str">
        <f>HYPERLINK("http://earthquake-report.com/2014/04/14/moderate-earthquake-nicaragua-on-april-14-2014/","Nicaragua (aftershock)")</f>
        <v>Nicaragua (aftershock)</v>
      </c>
      <c r="C126" s="302">
        <v>5.6</v>
      </c>
      <c r="D126" s="302"/>
      <c r="E126" s="302"/>
      <c r="F126" s="303">
        <v>1</v>
      </c>
      <c r="G126" s="321">
        <v>4</v>
      </c>
      <c r="H126" s="305">
        <v>3</v>
      </c>
      <c r="I126" s="306" t="s">
        <v>23</v>
      </c>
    </row>
    <row r="127" spans="1:9" ht="12.3">
      <c r="A127" s="307">
        <v>41746</v>
      </c>
      <c r="B127" s="308" t="str">
        <f>HYPERLINK("http://earthquake-report.com/2014/04/17/moderate-earthquake-austria-on-april-17-2014/","Austria")</f>
        <v>Austria</v>
      </c>
      <c r="C127" s="309">
        <v>4.0999999999999996</v>
      </c>
      <c r="D127" s="309"/>
      <c r="E127" s="309"/>
      <c r="F127" s="310" t="s">
        <v>23</v>
      </c>
      <c r="G127" s="311" t="s">
        <v>23</v>
      </c>
      <c r="H127" s="312" t="s">
        <v>1478</v>
      </c>
      <c r="I127" s="313" t="s">
        <v>23</v>
      </c>
    </row>
    <row r="128" spans="1:9" ht="12.3">
      <c r="A128" s="307">
        <v>41747</v>
      </c>
      <c r="B128" s="301" t="str">
        <f>HYPERLINK("http://earthquake-report.com/2014/04/18/massive-earthquake-guerrero-mexico-on-april-18-2014/","Mexico, Guerrero")</f>
        <v>Mexico, Guerrero</v>
      </c>
      <c r="C128" s="314">
        <v>7.2</v>
      </c>
      <c r="D128" s="309">
        <v>24</v>
      </c>
      <c r="E128" s="309" t="s">
        <v>123</v>
      </c>
      <c r="F128" s="310" t="s">
        <v>23</v>
      </c>
      <c r="G128" s="311">
        <v>1</v>
      </c>
      <c r="H128" s="312">
        <v>4</v>
      </c>
      <c r="I128" s="313" t="s">
        <v>1094</v>
      </c>
    </row>
    <row r="129" spans="1:9" ht="12.3">
      <c r="A129" s="326">
        <v>41748</v>
      </c>
      <c r="B129" s="301" t="str">
        <f>HYPERLINK("http://earthquake-report.com/2014/04/19/very-strong-earthquake-panguna-papua-new-guinea-on-april-19-2014/","OS Papua New Guinea")</f>
        <v>OS Papua New Guinea</v>
      </c>
      <c r="C129" s="327">
        <v>7.5</v>
      </c>
      <c r="D129" s="328"/>
      <c r="E129" s="328" t="s">
        <v>123</v>
      </c>
      <c r="F129" s="329"/>
      <c r="G129" s="311">
        <v>1</v>
      </c>
      <c r="H129" s="319">
        <v>3</v>
      </c>
      <c r="I129" s="330" t="s">
        <v>1908</v>
      </c>
    </row>
    <row r="130" spans="1:9" ht="12.3">
      <c r="A130" s="307">
        <v>41748</v>
      </c>
      <c r="B130" s="309" t="s">
        <v>1792</v>
      </c>
      <c r="C130" s="309">
        <v>1.4</v>
      </c>
      <c r="D130" s="309"/>
      <c r="E130" s="309"/>
      <c r="F130" s="310" t="s">
        <v>23</v>
      </c>
      <c r="G130" s="311" t="s">
        <v>23</v>
      </c>
      <c r="H130" s="312">
        <v>1</v>
      </c>
      <c r="I130" s="313" t="s">
        <v>23</v>
      </c>
    </row>
    <row r="131" spans="1:9" ht="12.3">
      <c r="A131" s="307">
        <v>41748</v>
      </c>
      <c r="B131" s="309" t="s">
        <v>604</v>
      </c>
      <c r="C131" s="309">
        <v>4.5999999999999996</v>
      </c>
      <c r="D131" s="309">
        <v>30</v>
      </c>
      <c r="E131" s="309"/>
      <c r="F131" s="310" t="s">
        <v>23</v>
      </c>
      <c r="G131" s="311" t="s">
        <v>23</v>
      </c>
      <c r="H131" s="312">
        <v>2</v>
      </c>
      <c r="I131" s="313" t="s">
        <v>23</v>
      </c>
    </row>
    <row r="132" spans="1:9" ht="12.3">
      <c r="A132" s="307">
        <v>41749</v>
      </c>
      <c r="B132" s="308" t="str">
        <f>HYPERLINK("http://earthquake-report.com/2014/04/21/moderate-earthquake-anhui-henan-china-on-april-20-2014/","China, Anhui")</f>
        <v>China, Anhui</v>
      </c>
      <c r="C132" s="309">
        <v>4.3</v>
      </c>
      <c r="D132" s="309">
        <v>10</v>
      </c>
      <c r="E132" s="309"/>
      <c r="F132" s="310" t="s">
        <v>23</v>
      </c>
      <c r="G132" s="311" t="s">
        <v>23</v>
      </c>
      <c r="H132" s="312">
        <v>2</v>
      </c>
      <c r="I132" s="313" t="s">
        <v>23</v>
      </c>
    </row>
    <row r="133" spans="1:9" ht="12.3">
      <c r="A133" s="307">
        <v>41751</v>
      </c>
      <c r="B133" s="308" t="str">
        <f>HYPERLINK("http://earthquake-report.com/2014/04/22/moderate-earthquake-nw-balkan-region-on-april-22-2014/","Slovenia,Pivka")</f>
        <v>Slovenia,Pivka</v>
      </c>
      <c r="C133" s="309">
        <v>4.4000000000000004</v>
      </c>
      <c r="D133" s="309">
        <v>2</v>
      </c>
      <c r="E133" s="309" t="s">
        <v>134</v>
      </c>
      <c r="F133" s="310" t="s">
        <v>23</v>
      </c>
      <c r="G133" s="311" t="s">
        <v>23</v>
      </c>
      <c r="H133" s="312" t="s">
        <v>1478</v>
      </c>
      <c r="I133" s="313" t="s">
        <v>23</v>
      </c>
    </row>
    <row r="134" spans="1:9" ht="12.3">
      <c r="A134" s="307">
        <v>41753</v>
      </c>
      <c r="B134" s="301" t="str">
        <f>HYPERLINK("http://wp.me/p1bAUO-txe","Dominican Republic")</f>
        <v>Dominican Republic</v>
      </c>
      <c r="C134" s="309"/>
      <c r="D134" s="309"/>
      <c r="E134" s="309"/>
      <c r="F134" s="310" t="s">
        <v>23</v>
      </c>
      <c r="G134" s="311">
        <v>2</v>
      </c>
      <c r="H134" s="312">
        <v>1</v>
      </c>
      <c r="I134" s="313" t="s">
        <v>23</v>
      </c>
    </row>
    <row r="135" spans="1:9" ht="12.3">
      <c r="A135" s="307">
        <v>41754</v>
      </c>
      <c r="B135" s="309" t="s">
        <v>1909</v>
      </c>
      <c r="C135" s="309" t="s">
        <v>1910</v>
      </c>
      <c r="D135" s="309"/>
      <c r="E135" s="309"/>
      <c r="F135" s="310" t="s">
        <v>23</v>
      </c>
      <c r="G135" s="311" t="s">
        <v>23</v>
      </c>
      <c r="H135" s="312">
        <v>1</v>
      </c>
      <c r="I135" s="313" t="s">
        <v>23</v>
      </c>
    </row>
    <row r="136" spans="1:9" ht="12.3">
      <c r="A136" s="307">
        <v>41758</v>
      </c>
      <c r="B136" s="308" t="str">
        <f>HYPERLINK("http://earthquake-report.com/2014/04/29/moderate-earthquake-pyrenees-on-april-29-2014/","France, Midi-Pyrenees")</f>
        <v>France, Midi-Pyrenees</v>
      </c>
      <c r="C136" s="309">
        <v>4.7</v>
      </c>
      <c r="D136" s="309"/>
      <c r="E136" s="309"/>
      <c r="F136" s="310" t="s">
        <v>23</v>
      </c>
      <c r="G136" s="311" t="s">
        <v>23</v>
      </c>
      <c r="H136" s="312">
        <v>1</v>
      </c>
      <c r="I136" s="313" t="s">
        <v>23</v>
      </c>
    </row>
    <row r="137" spans="1:9" ht="12.3">
      <c r="A137" s="307">
        <v>41760</v>
      </c>
      <c r="B137" s="308" t="str">
        <f>HYPERLINK("http://earthquake-report.com/2014/05/01/minor-earthquake-germany-on-may-1-2014/","Germany, Lower Saxony")</f>
        <v>Germany, Lower Saxony</v>
      </c>
      <c r="C137" s="309" t="s">
        <v>1822</v>
      </c>
      <c r="D137" s="309">
        <v>9</v>
      </c>
      <c r="E137" s="309"/>
      <c r="F137" s="310" t="s">
        <v>23</v>
      </c>
      <c r="G137" s="311" t="s">
        <v>23</v>
      </c>
      <c r="H137" s="312">
        <v>1</v>
      </c>
      <c r="I137" s="313" t="s">
        <v>23</v>
      </c>
    </row>
    <row r="138" spans="1:9" ht="12.3">
      <c r="A138" s="307">
        <v>41760</v>
      </c>
      <c r="B138" s="308" t="str">
        <f>HYPERLINK("http://earthquake-report.com/2014/05/01/moderate-earthquake-turkey-on-may-1-2014/","Turkey")</f>
        <v>Turkey</v>
      </c>
      <c r="C138" s="309">
        <v>4.2</v>
      </c>
      <c r="D138" s="309"/>
      <c r="E138" s="309"/>
      <c r="F138" s="310" t="s">
        <v>23</v>
      </c>
      <c r="G138" s="311" t="s">
        <v>23</v>
      </c>
      <c r="H138" s="312" t="s">
        <v>1478</v>
      </c>
      <c r="I138" s="313" t="s">
        <v>23</v>
      </c>
    </row>
    <row r="139" spans="1:9" ht="12.3">
      <c r="A139" s="307">
        <v>41761</v>
      </c>
      <c r="B139" s="301" t="str">
        <f>HYPERLINK("http://earthquake-report.com/2014/05/02/strong-earthquake-seram-indonesia-on-may-2-2014/","OS Indonesia, Maluku")</f>
        <v>OS Indonesia, Maluku</v>
      </c>
      <c r="C139" s="314">
        <v>5.7</v>
      </c>
      <c r="D139" s="309"/>
      <c r="E139" s="309" t="s">
        <v>134</v>
      </c>
      <c r="F139" s="310" t="s">
        <v>23</v>
      </c>
      <c r="G139" s="311">
        <v>3</v>
      </c>
      <c r="H139" s="312" t="s">
        <v>1511</v>
      </c>
      <c r="I139" s="313" t="s">
        <v>23</v>
      </c>
    </row>
    <row r="140" spans="1:9" ht="12.3">
      <c r="A140" s="307">
        <v>41762</v>
      </c>
      <c r="B140" s="309" t="s">
        <v>1519</v>
      </c>
      <c r="C140" s="309">
        <v>5.6</v>
      </c>
      <c r="D140" s="309">
        <v>10</v>
      </c>
      <c r="E140" s="309" t="s">
        <v>35</v>
      </c>
      <c r="F140" s="310" t="s">
        <v>23</v>
      </c>
      <c r="G140" s="311" t="s">
        <v>23</v>
      </c>
      <c r="H140" s="312" t="s">
        <v>1478</v>
      </c>
      <c r="I140" s="313" t="s">
        <v>23</v>
      </c>
    </row>
    <row r="141" spans="1:9" ht="12.3">
      <c r="A141" s="307">
        <v>41763</v>
      </c>
      <c r="B141" s="309" t="s">
        <v>1481</v>
      </c>
      <c r="C141" s="309">
        <v>4.9000000000000004</v>
      </c>
      <c r="D141" s="309"/>
      <c r="E141" s="309"/>
      <c r="F141" s="310" t="s">
        <v>23</v>
      </c>
      <c r="G141" s="311" t="s">
        <v>23</v>
      </c>
      <c r="H141" s="312">
        <v>2</v>
      </c>
      <c r="I141" s="313" t="s">
        <v>23</v>
      </c>
    </row>
    <row r="142" spans="1:9" ht="12.3">
      <c r="A142" s="307">
        <v>41763</v>
      </c>
      <c r="B142" s="301" t="str">
        <f>HYPERLINK("http://earthquake-report.com/2014/05/04/strong-earthquake-near-s-coast-of-honshu-japan-on-may-4-2014/","OS Japan, Honshu (Tokyo Area)")</f>
        <v>OS Japan, Honshu (Tokyo Area)</v>
      </c>
      <c r="C142" s="314">
        <v>6.2</v>
      </c>
      <c r="D142" s="309">
        <v>160</v>
      </c>
      <c r="E142" s="309" t="s">
        <v>1778</v>
      </c>
      <c r="F142" s="310" t="s">
        <v>23</v>
      </c>
      <c r="G142" s="311">
        <v>17</v>
      </c>
      <c r="H142" s="312" t="s">
        <v>23</v>
      </c>
      <c r="I142" s="313" t="s">
        <v>23</v>
      </c>
    </row>
    <row r="143" spans="1:9" ht="12.3">
      <c r="A143" s="300">
        <v>41764</v>
      </c>
      <c r="B143" s="301" t="str">
        <f>HYPERLINK("http://earthquake-report.com/2014/05/05/strong-earthquake-thailand-on-may-5-2014/","Thailand, Chiang Rai")</f>
        <v>Thailand, Chiang Rai</v>
      </c>
      <c r="C143" s="302">
        <v>6.3</v>
      </c>
      <c r="D143" s="302">
        <v>7</v>
      </c>
      <c r="E143" s="302" t="s">
        <v>363</v>
      </c>
      <c r="F143" s="303">
        <v>1</v>
      </c>
      <c r="G143" s="321">
        <v>32</v>
      </c>
      <c r="H143" s="305">
        <v>4</v>
      </c>
      <c r="I143" s="306" t="s">
        <v>23</v>
      </c>
    </row>
    <row r="144" spans="1:9" ht="12.3">
      <c r="A144" s="320" t="s">
        <v>1911</v>
      </c>
      <c r="B144" s="314" t="s">
        <v>1912</v>
      </c>
      <c r="C144" s="314" t="s">
        <v>1913</v>
      </c>
      <c r="D144" s="309"/>
      <c r="E144" s="309"/>
      <c r="F144" s="310" t="s">
        <v>23</v>
      </c>
      <c r="G144" s="311">
        <v>1</v>
      </c>
      <c r="H144" s="312">
        <v>3</v>
      </c>
      <c r="I144" s="315" t="s">
        <v>23</v>
      </c>
    </row>
    <row r="145" spans="1:9" ht="12.3">
      <c r="A145" s="307">
        <v>41766</v>
      </c>
      <c r="B145" s="301" t="str">
        <f>HYPERLINK("http://earthquake-report.com/2014/05/07/moderate-earthquake-yunnan-china-on-may-7-2014/","China, Yunnan")</f>
        <v>China, Yunnan</v>
      </c>
      <c r="C145" s="309">
        <v>4.7</v>
      </c>
      <c r="D145" s="309">
        <v>13</v>
      </c>
      <c r="E145" s="309"/>
      <c r="F145" s="310" t="s">
        <v>23</v>
      </c>
      <c r="G145" s="311">
        <v>2</v>
      </c>
      <c r="H145" s="312" t="s">
        <v>1511</v>
      </c>
      <c r="I145" s="315" t="s">
        <v>23</v>
      </c>
    </row>
    <row r="146" spans="1:9" ht="12.3">
      <c r="A146" s="307">
        <v>41767</v>
      </c>
      <c r="B146" s="301" t="str">
        <f>HYPERLINK("http://earthquake-report.com/2014/05/08/very-strong-earthquake-tecpan-de-galeana-mexico-on-may-8-2014/","Mexico, Guerrero")</f>
        <v>Mexico, Guerrero</v>
      </c>
      <c r="C146" s="314">
        <v>6.6</v>
      </c>
      <c r="D146" s="309">
        <v>24</v>
      </c>
      <c r="E146" s="309" t="s">
        <v>35</v>
      </c>
      <c r="F146" s="310" t="s">
        <v>23</v>
      </c>
      <c r="G146" s="311" t="s">
        <v>23</v>
      </c>
      <c r="H146" s="312">
        <v>3</v>
      </c>
      <c r="I146" s="315" t="s">
        <v>23</v>
      </c>
    </row>
    <row r="147" spans="1:9" ht="12.3">
      <c r="A147" s="307">
        <v>41767</v>
      </c>
      <c r="B147" s="309" t="s">
        <v>1893</v>
      </c>
      <c r="C147" s="309" t="s">
        <v>1914</v>
      </c>
      <c r="D147" s="309">
        <v>5</v>
      </c>
      <c r="E147" s="309"/>
      <c r="F147" s="310" t="s">
        <v>23</v>
      </c>
      <c r="G147" s="311" t="s">
        <v>23</v>
      </c>
      <c r="H147" s="312">
        <v>2</v>
      </c>
      <c r="I147" s="315" t="s">
        <v>23</v>
      </c>
    </row>
    <row r="148" spans="1:9" ht="12.3">
      <c r="A148" s="300">
        <v>41767</v>
      </c>
      <c r="B148" s="301" t="str">
        <f>HYPERLINK("earthquake-report.com/2014/05/09/moderate-earthquake-pakistan-on-may-8-2014-2/","Pakistan")</f>
        <v>Pakistan</v>
      </c>
      <c r="C148" s="302">
        <v>5</v>
      </c>
      <c r="D148" s="302">
        <v>15</v>
      </c>
      <c r="E148" s="302"/>
      <c r="F148" s="303">
        <v>2</v>
      </c>
      <c r="G148" s="321">
        <v>100</v>
      </c>
      <c r="H148" s="305" t="s">
        <v>1508</v>
      </c>
      <c r="I148" s="306" t="s">
        <v>23</v>
      </c>
    </row>
    <row r="149" spans="1:9" ht="12.3">
      <c r="A149" s="307">
        <v>41771</v>
      </c>
      <c r="B149" s="308" t="str">
        <f>HYPERLINK("http://earthquake-report.com/2014/05/12/moderate-earthquake-isseksi-morocco-on-may-12-2014/","Morocco")</f>
        <v>Morocco</v>
      </c>
      <c r="C149" s="309">
        <v>4.3</v>
      </c>
      <c r="D149" s="314"/>
      <c r="E149" s="314"/>
      <c r="F149" s="310" t="s">
        <v>23</v>
      </c>
      <c r="G149" s="311" t="s">
        <v>23</v>
      </c>
      <c r="H149" s="312">
        <v>2</v>
      </c>
      <c r="I149" s="315" t="s">
        <v>23</v>
      </c>
    </row>
    <row r="150" spans="1:9" ht="12.3">
      <c r="A150" s="307">
        <v>42137</v>
      </c>
      <c r="B150" s="308" t="str">
        <f>HYPERLINK("http://earthquake-report.com/2014/05/13/very-strong-earthquake-south-of-panama-on-may-13-2014/","OS Panama")</f>
        <v>OS Panama</v>
      </c>
      <c r="C150" s="314">
        <v>6.8</v>
      </c>
      <c r="D150" s="314"/>
      <c r="E150" s="309" t="s">
        <v>134</v>
      </c>
      <c r="F150" s="310" t="s">
        <v>23</v>
      </c>
      <c r="G150" s="311" t="s">
        <v>23</v>
      </c>
      <c r="H150" s="312">
        <v>2</v>
      </c>
      <c r="I150" s="315" t="s">
        <v>23</v>
      </c>
    </row>
    <row r="151" spans="1:9" ht="12.3">
      <c r="A151" s="307">
        <v>41774</v>
      </c>
      <c r="B151" s="309" t="s">
        <v>1017</v>
      </c>
      <c r="C151" s="309">
        <v>4.7</v>
      </c>
      <c r="D151" s="309"/>
      <c r="E151" s="309"/>
      <c r="F151" s="310" t="s">
        <v>23</v>
      </c>
      <c r="G151" s="311" t="s">
        <v>23</v>
      </c>
      <c r="H151" s="312">
        <v>2</v>
      </c>
      <c r="I151" s="315" t="s">
        <v>23</v>
      </c>
    </row>
    <row r="152" spans="1:9" ht="12.3">
      <c r="A152" s="307">
        <v>41774</v>
      </c>
      <c r="B152" s="309" t="s">
        <v>1915</v>
      </c>
      <c r="C152" s="314">
        <v>5.8</v>
      </c>
      <c r="D152" s="309"/>
      <c r="E152" s="309"/>
      <c r="F152" s="310" t="s">
        <v>23</v>
      </c>
      <c r="G152" s="311">
        <v>2</v>
      </c>
      <c r="H152" s="312">
        <v>1</v>
      </c>
      <c r="I152" s="315" t="s">
        <v>23</v>
      </c>
    </row>
    <row r="153" spans="1:9" ht="12.3">
      <c r="A153" s="307">
        <v>41775</v>
      </c>
      <c r="B153" s="309" t="s">
        <v>216</v>
      </c>
      <c r="C153" s="309">
        <v>5.0999999999999996</v>
      </c>
      <c r="D153" s="309">
        <v>78</v>
      </c>
      <c r="E153" s="309"/>
      <c r="F153" s="310" t="s">
        <v>23</v>
      </c>
      <c r="G153" s="311" t="s">
        <v>23</v>
      </c>
      <c r="H153" s="312">
        <v>1</v>
      </c>
      <c r="I153" s="315" t="s">
        <v>23</v>
      </c>
    </row>
    <row r="154" spans="1:9" ht="12.3">
      <c r="A154" s="307">
        <v>41776</v>
      </c>
      <c r="B154" s="301" t="str">
        <f>HYPERLINK("http://earthquake-report.com/2014/05/17/moderate-earthquake-germany-on-may-17-2014/","Germany, Hessen")</f>
        <v>Germany, Hessen</v>
      </c>
      <c r="C154" s="309">
        <v>4.2</v>
      </c>
      <c r="D154" s="309">
        <v>5</v>
      </c>
      <c r="E154" s="309" t="s">
        <v>365</v>
      </c>
      <c r="F154" s="310" t="s">
        <v>23</v>
      </c>
      <c r="G154" s="311" t="s">
        <v>23</v>
      </c>
      <c r="H154" s="312">
        <v>2</v>
      </c>
      <c r="I154" s="315" t="s">
        <v>23</v>
      </c>
    </row>
    <row r="155" spans="1:9" ht="12.3">
      <c r="A155" s="307">
        <v>41778</v>
      </c>
      <c r="B155" s="301" t="str">
        <f>HYPERLINK("http://earthquake-report.com/2014/05/19/moderate-earthquake-albania-on-may-19-2014/","Albania, Cerrik ")</f>
        <v xml:space="preserve">Albania, Cerrik </v>
      </c>
      <c r="C155" s="309">
        <v>5.2</v>
      </c>
      <c r="D155" s="309">
        <v>18</v>
      </c>
      <c r="E155" s="309" t="s">
        <v>123</v>
      </c>
      <c r="F155" s="310" t="s">
        <v>23</v>
      </c>
      <c r="G155" s="311" t="s">
        <v>23</v>
      </c>
      <c r="H155" s="312">
        <v>3</v>
      </c>
      <c r="I155" s="315" t="s">
        <v>23</v>
      </c>
    </row>
    <row r="156" spans="1:9" ht="12.3">
      <c r="A156" s="307">
        <v>41779</v>
      </c>
      <c r="B156" s="314" t="s">
        <v>1916</v>
      </c>
      <c r="C156" s="309">
        <v>4.5</v>
      </c>
      <c r="D156" s="309">
        <v>12</v>
      </c>
      <c r="E156" s="309"/>
      <c r="F156" s="310" t="s">
        <v>23</v>
      </c>
      <c r="G156" s="311" t="s">
        <v>23</v>
      </c>
      <c r="H156" s="312">
        <v>2</v>
      </c>
      <c r="I156" s="315" t="s">
        <v>23</v>
      </c>
    </row>
    <row r="157" spans="1:9" ht="12.3">
      <c r="A157" s="307">
        <v>41780</v>
      </c>
      <c r="B157" s="301" t="str">
        <f>HYPERLINK("http://earthquake-report.com/2014/05/21/very-strong-earthquake-taiwan-on-may-21-2014/","Taiwan, Hualien")</f>
        <v>Taiwan, Hualien</v>
      </c>
      <c r="C157" s="314">
        <v>5.9</v>
      </c>
      <c r="D157" s="309">
        <v>18</v>
      </c>
      <c r="E157" s="309" t="s">
        <v>1588</v>
      </c>
      <c r="F157" s="310" t="s">
        <v>23</v>
      </c>
      <c r="G157" s="311">
        <v>3</v>
      </c>
      <c r="H157" s="312">
        <v>2</v>
      </c>
      <c r="I157" s="315" t="s">
        <v>23</v>
      </c>
    </row>
    <row r="158" spans="1:9" ht="12.3">
      <c r="A158" s="307">
        <v>41780</v>
      </c>
      <c r="B158" s="308" t="str">
        <f>HYPERLINK("http://earthquake-report.com/2014/05/21/strong-earthquake-chiapas-mexico-on-may-21-2014/","Mexico, Chiapas")</f>
        <v>Mexico, Chiapas</v>
      </c>
      <c r="C158" s="314">
        <v>5.8</v>
      </c>
      <c r="D158" s="309">
        <v>120</v>
      </c>
      <c r="E158" s="309"/>
      <c r="F158" s="310" t="s">
        <v>23</v>
      </c>
      <c r="G158" s="311" t="s">
        <v>23</v>
      </c>
      <c r="H158" s="312" t="s">
        <v>1478</v>
      </c>
      <c r="I158" s="315" t="s">
        <v>23</v>
      </c>
    </row>
    <row r="159" spans="1:9" ht="12.3">
      <c r="A159" s="307">
        <v>41780</v>
      </c>
      <c r="B159" s="308" t="str">
        <f>HYPERLINK("http://earthquake-report.com/2014/05/21/moderate-earthquake-southern-iran-on-may-21-2014/","Iran, Bushehr")</f>
        <v>Iran, Bushehr</v>
      </c>
      <c r="C159" s="309">
        <v>5.4</v>
      </c>
      <c r="D159" s="309">
        <v>19</v>
      </c>
      <c r="E159" s="309"/>
      <c r="F159" s="310" t="s">
        <v>23</v>
      </c>
      <c r="G159" s="311" t="s">
        <v>23</v>
      </c>
      <c r="H159" s="312">
        <v>2</v>
      </c>
      <c r="I159" s="315" t="s">
        <v>23</v>
      </c>
    </row>
    <row r="160" spans="1:9" ht="12.3">
      <c r="A160" s="300">
        <v>41780</v>
      </c>
      <c r="B160" s="301" t="str">
        <f>HYPERLINK("http://earthquake-report.com/2014/05/21/strong-earthquake-bay-of-bengal-on-may-21-2014/","OS India, Odisha")</f>
        <v>OS India, Odisha</v>
      </c>
      <c r="C160" s="302">
        <v>6</v>
      </c>
      <c r="D160" s="302"/>
      <c r="E160" s="302"/>
      <c r="F160" s="303">
        <v>2</v>
      </c>
      <c r="G160" s="321">
        <v>250</v>
      </c>
      <c r="H160" s="305">
        <v>3</v>
      </c>
      <c r="I160" s="306" t="s">
        <v>23</v>
      </c>
    </row>
    <row r="161" spans="1:9" ht="12.3">
      <c r="A161" s="307">
        <v>41781</v>
      </c>
      <c r="B161" s="308" t="str">
        <f>HYPERLINK("http://earthquake-report.com/2014/05/22/moderate-earthquake-northern-algeria-on-may-22-2014/","Algeria, Mostaganem")</f>
        <v>Algeria, Mostaganem</v>
      </c>
      <c r="C161" s="309">
        <v>5.2</v>
      </c>
      <c r="D161" s="314"/>
      <c r="E161" s="314"/>
      <c r="F161" s="303" t="s">
        <v>23</v>
      </c>
      <c r="G161" s="304" t="s">
        <v>23</v>
      </c>
      <c r="H161" s="312">
        <v>2</v>
      </c>
      <c r="I161" s="315" t="s">
        <v>23</v>
      </c>
    </row>
    <row r="162" spans="1:9" ht="12.3">
      <c r="A162" s="307">
        <v>41782</v>
      </c>
      <c r="B162" s="301" t="str">
        <f>HYPERLINK("http://wp.me/p1bAUO-uKF","China, Yunnan")</f>
        <v>China, Yunnan</v>
      </c>
      <c r="C162" s="314">
        <v>5.6</v>
      </c>
      <c r="D162" s="314">
        <v>12</v>
      </c>
      <c r="E162" s="314"/>
      <c r="F162" s="303" t="s">
        <v>23</v>
      </c>
      <c r="G162" s="304">
        <v>15</v>
      </c>
      <c r="H162" s="323" t="s">
        <v>1508</v>
      </c>
      <c r="I162" s="315" t="s">
        <v>23</v>
      </c>
    </row>
    <row r="163" spans="1:9" ht="12.3">
      <c r="A163" s="307">
        <v>41783</v>
      </c>
      <c r="B163" s="308" t="str">
        <f>HYPERLINK("http://earthquake-report.com/2014/05/24/strong-earthquake-oaxaca-mexico-on-may-24-2014/","Mexico, Oaxaca")</f>
        <v>Mexico, Oaxaca</v>
      </c>
      <c r="C163" s="309">
        <v>5.4</v>
      </c>
      <c r="D163" s="309">
        <v>12</v>
      </c>
      <c r="E163" s="314"/>
      <c r="F163" s="303" t="s">
        <v>23</v>
      </c>
      <c r="G163" s="304" t="s">
        <v>23</v>
      </c>
      <c r="H163" s="312">
        <v>2</v>
      </c>
      <c r="I163" s="315" t="s">
        <v>23</v>
      </c>
    </row>
    <row r="164" spans="1:9" ht="12.3">
      <c r="A164" s="326">
        <v>41783</v>
      </c>
      <c r="B164" s="301" t="str">
        <f>HYPERLINK("http://earthquake-report.com/2014/05/24/strong-earthquake-aegean-sea-on-may-24-2014/","OS Greece, Lemnos")</f>
        <v>OS Greece, Lemnos</v>
      </c>
      <c r="C164" s="327">
        <v>6.9</v>
      </c>
      <c r="D164" s="328">
        <v>24</v>
      </c>
      <c r="E164" s="328" t="s">
        <v>123</v>
      </c>
      <c r="F164" s="303" t="s">
        <v>23</v>
      </c>
      <c r="G164" s="304">
        <v>324</v>
      </c>
      <c r="H164" s="331">
        <v>3</v>
      </c>
      <c r="I164" s="332" t="s">
        <v>23</v>
      </c>
    </row>
    <row r="165" spans="1:9" ht="12.3">
      <c r="A165" s="307">
        <v>41783</v>
      </c>
      <c r="B165" s="308" t="str">
        <f>HYPERLINK("http://earthquake-report.com/2014/05/24/minor-earthquake-germany-on-may-24-2014/","Czech Republic")</f>
        <v>Czech Republic</v>
      </c>
      <c r="C165" s="309">
        <v>3.9</v>
      </c>
      <c r="D165" s="309">
        <v>5</v>
      </c>
      <c r="E165" s="309" t="s">
        <v>684</v>
      </c>
      <c r="F165" s="303" t="s">
        <v>23</v>
      </c>
      <c r="G165" s="304" t="s">
        <v>23</v>
      </c>
      <c r="H165" s="312">
        <v>1</v>
      </c>
      <c r="I165" s="315" t="s">
        <v>23</v>
      </c>
    </row>
    <row r="166" spans="1:9" ht="12.3">
      <c r="A166" s="307">
        <v>41783</v>
      </c>
      <c r="B166" s="308" t="str">
        <f>HYPERLINK("http://earthquake-report.com/2014/05/24/moderate-earthquake-mizpe-ramon-israel-on-may-24-2014/","Jordan/Israel")</f>
        <v>Jordan/Israel</v>
      </c>
      <c r="C166" s="309">
        <v>4.0999999999999996</v>
      </c>
      <c r="D166" s="309">
        <v>10</v>
      </c>
      <c r="E166" s="309"/>
      <c r="F166" s="303" t="s">
        <v>23</v>
      </c>
      <c r="G166" s="304" t="s">
        <v>23</v>
      </c>
      <c r="H166" s="312">
        <v>1</v>
      </c>
      <c r="I166" s="315" t="s">
        <v>23</v>
      </c>
    </row>
    <row r="167" spans="1:9" ht="12.3">
      <c r="A167" s="307">
        <v>41785</v>
      </c>
      <c r="B167" s="308" t="str">
        <f t="shared" ref="B167:B168" si="0">HYPERLINK("http://earthquake-report.com/2014/05/28/moderate-earthquake-shiyan-fang-hubei-china-on-may-27-2014/","China, Hubei")</f>
        <v>China, Hubei</v>
      </c>
      <c r="C167" s="309" t="s">
        <v>1545</v>
      </c>
      <c r="D167" s="309">
        <v>5</v>
      </c>
      <c r="E167" s="309"/>
      <c r="F167" s="303" t="s">
        <v>23</v>
      </c>
      <c r="G167" s="304" t="s">
        <v>23</v>
      </c>
      <c r="H167" s="312" t="s">
        <v>1478</v>
      </c>
      <c r="I167" s="315" t="s">
        <v>23</v>
      </c>
    </row>
    <row r="168" spans="1:9" ht="12.3">
      <c r="A168" s="307">
        <v>41786</v>
      </c>
      <c r="B168" s="308" t="str">
        <f t="shared" si="0"/>
        <v>China, Hubei</v>
      </c>
      <c r="C168" s="309" t="s">
        <v>1875</v>
      </c>
      <c r="D168" s="309">
        <v>7</v>
      </c>
      <c r="E168" s="309"/>
      <c r="F168" s="303" t="s">
        <v>23</v>
      </c>
      <c r="G168" s="304" t="s">
        <v>23</v>
      </c>
      <c r="H168" s="312">
        <v>2</v>
      </c>
      <c r="I168" s="315" t="s">
        <v>23</v>
      </c>
    </row>
    <row r="169" spans="1:9" ht="12.3">
      <c r="A169" s="307">
        <v>41787</v>
      </c>
      <c r="B169" s="308" t="str">
        <f>HYPERLINK("http://earthquake-report.com/2014/05/28/moderate-earthquake-80-miles-w-of-mayaguez-puerto-rico-on-may-28-2014/","OS Dominican Republic")</f>
        <v>OS Dominican Republic</v>
      </c>
      <c r="C169" s="314">
        <v>5.8</v>
      </c>
      <c r="D169" s="309">
        <v>91</v>
      </c>
      <c r="E169" s="309" t="s">
        <v>134</v>
      </c>
      <c r="F169" s="303" t="s">
        <v>23</v>
      </c>
      <c r="G169" s="304" t="s">
        <v>23</v>
      </c>
      <c r="H169" s="312">
        <v>2</v>
      </c>
      <c r="I169" s="315" t="s">
        <v>23</v>
      </c>
    </row>
    <row r="170" spans="1:9" ht="12.3">
      <c r="A170" s="333">
        <v>41789</v>
      </c>
      <c r="B170" s="301" t="str">
        <f>HYPERLINK("http://earthquake-report.com/2014/05/30/strong-earthquake-myanmar-china-border-region-on-may-30-2014/","China, Yunnan")</f>
        <v>China, Yunnan</v>
      </c>
      <c r="C170" s="327">
        <v>6.1</v>
      </c>
      <c r="D170" s="327">
        <v>12</v>
      </c>
      <c r="E170" s="327" t="s">
        <v>123</v>
      </c>
      <c r="F170" s="303" t="s">
        <v>23</v>
      </c>
      <c r="G170" s="304">
        <v>48</v>
      </c>
      <c r="H170" s="331" t="s">
        <v>1653</v>
      </c>
      <c r="I170" s="332" t="s">
        <v>23</v>
      </c>
    </row>
    <row r="171" spans="1:9" ht="12.3">
      <c r="A171" s="307">
        <v>41789</v>
      </c>
      <c r="B171" s="308" t="str">
        <f>HYPERLINK("http://earthquake-report.com/2014/05/30/minor-earthquake-enid-oklahoma-on-may-30-2014/","USA, Oklahoma")</f>
        <v>USA, Oklahoma</v>
      </c>
      <c r="C171" s="309" t="s">
        <v>1572</v>
      </c>
      <c r="D171" s="309">
        <v>2</v>
      </c>
      <c r="E171" s="309"/>
      <c r="F171" s="310" t="s">
        <v>23</v>
      </c>
      <c r="G171" s="311" t="s">
        <v>23</v>
      </c>
      <c r="H171" s="312">
        <v>1</v>
      </c>
      <c r="I171" s="315" t="s">
        <v>23</v>
      </c>
    </row>
    <row r="172" spans="1:9" ht="12.3">
      <c r="A172" s="307">
        <v>41790</v>
      </c>
      <c r="B172" s="308" t="str">
        <f>HYPERLINK("http://earthquake-report.com/2014/05/31/moderate-earthquake-germany-on-may-31-2014/","Czech Republic")</f>
        <v>Czech Republic</v>
      </c>
      <c r="C172" s="309">
        <v>4.5</v>
      </c>
      <c r="D172" s="309">
        <v>7</v>
      </c>
      <c r="E172" s="309"/>
      <c r="F172" s="310" t="s">
        <v>23</v>
      </c>
      <c r="G172" s="311" t="s">
        <v>23</v>
      </c>
      <c r="H172" s="312" t="s">
        <v>1478</v>
      </c>
      <c r="I172" s="315" t="s">
        <v>23</v>
      </c>
    </row>
    <row r="173" spans="1:9" ht="12.3">
      <c r="A173" s="307">
        <v>41792</v>
      </c>
      <c r="B173" s="308" t="str">
        <f>HYPERLINK("http://earthquake-report.com/2014/06/02/moderate-earthquake-eastern-caucasus-on-june-2-2014/","Russia, Chechnya")</f>
        <v>Russia, Chechnya</v>
      </c>
      <c r="C173" s="309">
        <v>4.8</v>
      </c>
      <c r="D173" s="309"/>
      <c r="E173" s="309"/>
      <c r="F173" s="310" t="s">
        <v>23</v>
      </c>
      <c r="G173" s="311" t="s">
        <v>23</v>
      </c>
      <c r="H173" s="312">
        <v>2</v>
      </c>
      <c r="I173" s="315" t="s">
        <v>23</v>
      </c>
    </row>
    <row r="174" spans="1:9" ht="12.3">
      <c r="A174" s="307">
        <v>41793</v>
      </c>
      <c r="B174" s="308" t="str">
        <f>HYPERLINK("http://wp.me/p1bAUO-v3q","Iran, Kerman")</f>
        <v>Iran, Kerman</v>
      </c>
      <c r="C174" s="309">
        <v>4.9000000000000004</v>
      </c>
      <c r="D174" s="309">
        <v>14</v>
      </c>
      <c r="E174" s="309"/>
      <c r="F174" s="310" t="s">
        <v>23</v>
      </c>
      <c r="G174" s="311" t="s">
        <v>23</v>
      </c>
      <c r="H174" s="312">
        <v>2</v>
      </c>
      <c r="I174" s="315" t="s">
        <v>23</v>
      </c>
    </row>
    <row r="175" spans="1:9" ht="12.3">
      <c r="A175" s="307">
        <v>41793</v>
      </c>
      <c r="B175" s="301" t="str">
        <f>HYPERLINK("http://wp.me/p1bAUO-v4K","OS Peru, Lima")</f>
        <v>OS Peru, Lima</v>
      </c>
      <c r="C175" s="309">
        <v>5.4</v>
      </c>
      <c r="D175" s="309"/>
      <c r="E175" s="309"/>
      <c r="F175" s="310" t="s">
        <v>23</v>
      </c>
      <c r="G175" s="311">
        <v>2</v>
      </c>
      <c r="H175" s="312" t="s">
        <v>1478</v>
      </c>
      <c r="I175" s="315" t="s">
        <v>23</v>
      </c>
    </row>
    <row r="176" spans="1:9" ht="12.3">
      <c r="A176" s="307">
        <v>41794</v>
      </c>
      <c r="B176" s="309" t="s">
        <v>1582</v>
      </c>
      <c r="C176" s="309"/>
      <c r="D176" s="309"/>
      <c r="E176" s="309"/>
      <c r="F176" s="310" t="s">
        <v>23</v>
      </c>
      <c r="G176" s="311" t="s">
        <v>23</v>
      </c>
      <c r="H176" s="312">
        <v>2</v>
      </c>
      <c r="I176" s="315" t="s">
        <v>23</v>
      </c>
    </row>
    <row r="177" spans="1:9" ht="12.3">
      <c r="A177" s="307">
        <v>41796</v>
      </c>
      <c r="B177" s="308" t="str">
        <f>HYPERLINK("http://earthquake-report.com/2014/06/06/moderate-earthquake-xizang-on-june-6-2014/","China, Xizang")</f>
        <v>China, Xizang</v>
      </c>
      <c r="C177" s="309">
        <v>4.4000000000000004</v>
      </c>
      <c r="D177" s="309">
        <v>8</v>
      </c>
      <c r="E177" s="309"/>
      <c r="F177" s="310" t="s">
        <v>23</v>
      </c>
      <c r="G177" s="311" t="s">
        <v>23</v>
      </c>
      <c r="H177" s="312" t="s">
        <v>1478</v>
      </c>
      <c r="I177" s="315" t="s">
        <v>23</v>
      </c>
    </row>
    <row r="178" spans="1:9" ht="12.3">
      <c r="A178" s="307">
        <v>41798</v>
      </c>
      <c r="B178" s="308" t="str">
        <f>HYPERLINK("http://earthquake-report.com/2014/06/08/moderate-earthquake-la-rioja-argentina-on-june-8-2014/","Argentina, La Rioja")</f>
        <v>Argentina, La Rioja</v>
      </c>
      <c r="C178" s="309">
        <v>4.9000000000000004</v>
      </c>
      <c r="D178" s="309">
        <v>12</v>
      </c>
      <c r="E178" s="309"/>
      <c r="F178" s="310" t="s">
        <v>23</v>
      </c>
      <c r="G178" s="311" t="s">
        <v>23</v>
      </c>
      <c r="H178" s="312">
        <v>2</v>
      </c>
      <c r="I178" s="315" t="s">
        <v>23</v>
      </c>
    </row>
    <row r="179" spans="1:9" ht="12.3">
      <c r="A179" s="307">
        <v>41798</v>
      </c>
      <c r="B179" s="308" t="str">
        <f>HYPERLINK("http://wp.me/p1bAUO-vc0","Germany, Hessen")</f>
        <v>Germany, Hessen</v>
      </c>
      <c r="C179" s="309">
        <v>3.2</v>
      </c>
      <c r="D179" s="309">
        <v>3</v>
      </c>
      <c r="E179" s="309" t="s">
        <v>134</v>
      </c>
      <c r="F179" s="310" t="s">
        <v>23</v>
      </c>
      <c r="G179" s="311" t="s">
        <v>23</v>
      </c>
      <c r="H179" s="312">
        <v>1</v>
      </c>
      <c r="I179" s="315" t="s">
        <v>23</v>
      </c>
    </row>
    <row r="180" spans="1:9" ht="12.3">
      <c r="A180" s="307">
        <v>41799</v>
      </c>
      <c r="B180" s="308" t="str">
        <f>HYPERLINK("http://earthquake-report.com/2014/06/10/moderate-earthquake-sichuan-china-on-june-9-2014/","China, Sichuan")</f>
        <v>China, Sichuan</v>
      </c>
      <c r="C180" s="309">
        <v>4.8</v>
      </c>
      <c r="D180" s="309">
        <v>15</v>
      </c>
      <c r="E180" s="309"/>
      <c r="F180" s="310" t="s">
        <v>23</v>
      </c>
      <c r="G180" s="311" t="s">
        <v>23</v>
      </c>
      <c r="H180" s="312">
        <v>2</v>
      </c>
      <c r="I180" s="315" t="s">
        <v>23</v>
      </c>
    </row>
    <row r="181" spans="1:9" ht="12.3">
      <c r="A181" s="307">
        <v>41800</v>
      </c>
      <c r="B181" s="308" t="str">
        <f>HYPERLINK("http://earthquake-report.com/2014/06/10/minor-earthquake-northern-iran-on-june-10-2014/","Iran, Tehran")</f>
        <v>Iran, Tehran</v>
      </c>
      <c r="C181" s="309">
        <v>3.6</v>
      </c>
      <c r="D181" s="309">
        <v>12</v>
      </c>
      <c r="E181" s="309"/>
      <c r="F181" s="310" t="s">
        <v>23</v>
      </c>
      <c r="G181" s="311" t="s">
        <v>23</v>
      </c>
      <c r="H181" s="312">
        <v>2</v>
      </c>
      <c r="I181" s="315" t="s">
        <v>23</v>
      </c>
    </row>
    <row r="182" spans="1:9" ht="12.3">
      <c r="A182" s="307">
        <v>41803</v>
      </c>
      <c r="B182" s="309" t="s">
        <v>1917</v>
      </c>
      <c r="C182" s="309">
        <v>4.5999999999999996</v>
      </c>
      <c r="D182" s="309">
        <v>29</v>
      </c>
      <c r="E182" s="309"/>
      <c r="F182" s="310" t="s">
        <v>23</v>
      </c>
      <c r="G182" s="311" t="s">
        <v>23</v>
      </c>
      <c r="H182" s="312" t="s">
        <v>1478</v>
      </c>
      <c r="I182" s="315" t="s">
        <v>23</v>
      </c>
    </row>
    <row r="183" spans="1:9" ht="12.3">
      <c r="A183" s="307">
        <v>41803</v>
      </c>
      <c r="B183" s="308" t="str">
        <f>HYPERLINK("http://earthquake-report.com/2014/06/13/moderate-earthquake-pakistan-on-june-13-2014/","Pakistan")</f>
        <v>Pakistan</v>
      </c>
      <c r="C183" s="309">
        <v>5.3</v>
      </c>
      <c r="D183" s="309"/>
      <c r="E183" s="309"/>
      <c r="F183" s="310" t="s">
        <v>23</v>
      </c>
      <c r="G183" s="311" t="s">
        <v>23</v>
      </c>
      <c r="H183" s="312">
        <v>2</v>
      </c>
      <c r="I183" s="315" t="s">
        <v>23</v>
      </c>
    </row>
    <row r="184" spans="1:9" ht="12.3">
      <c r="A184" s="300">
        <v>41803</v>
      </c>
      <c r="B184" s="301" t="str">
        <f>HYPERLINK("http://earthquake-report.com/2014/06/13/moderate-earthquake-eastern-kashmir-on-june-13-2014/","India, Kashmir")</f>
        <v>India, Kashmir</v>
      </c>
      <c r="C184" s="302">
        <v>4.5999999999999996</v>
      </c>
      <c r="D184" s="302"/>
      <c r="E184" s="302"/>
      <c r="F184" s="303">
        <v>2</v>
      </c>
      <c r="G184" s="321">
        <v>1</v>
      </c>
      <c r="H184" s="305">
        <v>3</v>
      </c>
      <c r="I184" s="306" t="s">
        <v>23</v>
      </c>
    </row>
    <row r="185" spans="1:9" ht="12.3">
      <c r="A185" s="307">
        <v>41803</v>
      </c>
      <c r="B185" s="309" t="s">
        <v>1633</v>
      </c>
      <c r="C185" s="309">
        <v>3.2</v>
      </c>
      <c r="D185" s="309"/>
      <c r="E185" s="309"/>
      <c r="F185" s="310" t="s">
        <v>23</v>
      </c>
      <c r="G185" s="311" t="s">
        <v>23</v>
      </c>
      <c r="H185" s="312">
        <v>1</v>
      </c>
      <c r="I185" s="315" t="s">
        <v>23</v>
      </c>
    </row>
    <row r="186" spans="1:9" ht="12.3">
      <c r="A186" s="307">
        <v>41805</v>
      </c>
      <c r="B186" s="308" t="str">
        <f>HYPERLINK("http://earthquake-report.com/2014/06/16/minor-earthquake-noatak-alaska-on-june-16-2014/","USA, Alaska")</f>
        <v>USA, Alaska</v>
      </c>
      <c r="C186" s="314">
        <v>5.7</v>
      </c>
      <c r="D186" s="309">
        <v>12</v>
      </c>
      <c r="E186" s="309"/>
      <c r="F186" s="310" t="s">
        <v>23</v>
      </c>
      <c r="G186" s="311" t="s">
        <v>23</v>
      </c>
      <c r="H186" s="312">
        <v>2</v>
      </c>
      <c r="I186" s="315" t="s">
        <v>23</v>
      </c>
    </row>
    <row r="187" spans="1:9" ht="12.3">
      <c r="A187" s="307">
        <v>41806</v>
      </c>
      <c r="B187" s="301" t="str">
        <f>HYPERLINK("http://wp.me/p1bAUO-vlv","Guatemala")</f>
        <v>Guatemala</v>
      </c>
      <c r="C187" s="309">
        <v>5.4</v>
      </c>
      <c r="D187" s="309">
        <v>14</v>
      </c>
      <c r="E187" s="309"/>
      <c r="F187" s="310" t="s">
        <v>23</v>
      </c>
      <c r="G187" s="311" t="s">
        <v>23</v>
      </c>
      <c r="H187" s="312">
        <v>3</v>
      </c>
      <c r="I187" s="315" t="s">
        <v>23</v>
      </c>
    </row>
    <row r="188" spans="1:9" ht="12.3">
      <c r="A188" s="307">
        <v>41807</v>
      </c>
      <c r="B188" s="309" t="s">
        <v>1670</v>
      </c>
      <c r="C188" s="309">
        <v>4.0999999999999996</v>
      </c>
      <c r="D188" s="309"/>
      <c r="E188" s="309"/>
      <c r="F188" s="310" t="s">
        <v>23</v>
      </c>
      <c r="G188" s="311" t="s">
        <v>23</v>
      </c>
      <c r="H188" s="312" t="s">
        <v>1478</v>
      </c>
      <c r="I188" s="315" t="s">
        <v>23</v>
      </c>
    </row>
    <row r="189" spans="1:9" ht="12.3">
      <c r="A189" s="307">
        <v>41808</v>
      </c>
      <c r="B189" s="308" t="str">
        <f>HYPERLINK("http://earthquake-report.com/2014/06/18/moderate-earthquake-spencer-oklahoma-on-june-18-2014/","USA, Oklahoma")</f>
        <v>USA, Oklahoma</v>
      </c>
      <c r="C189" s="309" t="s">
        <v>1860</v>
      </c>
      <c r="D189" s="309">
        <v>3</v>
      </c>
      <c r="E189" s="309" t="s">
        <v>134</v>
      </c>
      <c r="F189" s="310" t="s">
        <v>23</v>
      </c>
      <c r="G189" s="311" t="s">
        <v>23</v>
      </c>
      <c r="H189" s="312" t="s">
        <v>1478</v>
      </c>
      <c r="I189" s="315" t="s">
        <v>23</v>
      </c>
    </row>
    <row r="190" spans="1:9" ht="12.3">
      <c r="A190" s="307">
        <v>41810</v>
      </c>
      <c r="B190" s="301" t="str">
        <f>HYPERLINK("http://earthquake-report.com/2014/06/20/moderate-earthquake-southern-iran-on-june-20-2014-2/","Iran, Bushehr")</f>
        <v>Iran, Bushehr</v>
      </c>
      <c r="C190" s="309">
        <v>5.0999999999999996</v>
      </c>
      <c r="D190" s="309">
        <v>11</v>
      </c>
      <c r="E190" s="309"/>
      <c r="F190" s="310" t="s">
        <v>23</v>
      </c>
      <c r="G190" s="311">
        <v>1</v>
      </c>
      <c r="H190" s="312">
        <v>3</v>
      </c>
      <c r="I190" s="315" t="s">
        <v>23</v>
      </c>
    </row>
    <row r="191" spans="1:9" ht="12.3">
      <c r="A191" s="307">
        <v>41811</v>
      </c>
      <c r="B191" s="308" t="str">
        <f>HYPERLINK("http://earthquake-report.com/2014/06/21/moderate-earthquake-central-kazakhstan-on-june-21-2014/","Kazakhstan")</f>
        <v>Kazakhstan</v>
      </c>
      <c r="C191" s="309">
        <v>4.8</v>
      </c>
      <c r="D191" s="309"/>
      <c r="E191" s="309"/>
      <c r="F191" s="310" t="s">
        <v>23</v>
      </c>
      <c r="G191" s="311" t="s">
        <v>23</v>
      </c>
      <c r="H191" s="312" t="s">
        <v>1478</v>
      </c>
      <c r="I191" s="315" t="s">
        <v>23</v>
      </c>
    </row>
    <row r="192" spans="1:9" ht="12.3">
      <c r="A192" s="307">
        <v>41812</v>
      </c>
      <c r="B192" s="308" t="str">
        <f>HYPERLINK("http://earthquake-report.com/2014/06/22/strong-earthquake-java-indonesia-on-june-22-2014/","OS Indonesia, Java")</f>
        <v>OS Indonesia, Java</v>
      </c>
      <c r="C192" s="314">
        <v>5.5</v>
      </c>
      <c r="D192" s="309">
        <v>12</v>
      </c>
      <c r="E192" s="309"/>
      <c r="F192" s="310" t="s">
        <v>23</v>
      </c>
      <c r="G192" s="311" t="s">
        <v>23</v>
      </c>
      <c r="H192" s="312">
        <v>2</v>
      </c>
      <c r="I192" s="315" t="s">
        <v>23</v>
      </c>
    </row>
    <row r="193" spans="1:9" ht="12.3">
      <c r="A193" s="307">
        <v>41812</v>
      </c>
      <c r="B193" s="309" t="s">
        <v>1918</v>
      </c>
      <c r="C193" s="314">
        <v>5.5</v>
      </c>
      <c r="D193" s="309">
        <v>86</v>
      </c>
      <c r="E193" s="309"/>
      <c r="F193" s="310" t="s">
        <v>23</v>
      </c>
      <c r="G193" s="311">
        <v>4</v>
      </c>
      <c r="H193" s="312"/>
      <c r="I193" s="315" t="s">
        <v>23</v>
      </c>
    </row>
    <row r="194" spans="1:9" ht="12.3">
      <c r="A194" s="307">
        <v>41813</v>
      </c>
      <c r="B194" s="308" t="str">
        <f>HYPERLINK("http://earthquake-report.com/2014/06/23/very-strong-earthquake-kermadec-islands-region-on-june-23-2014/","Kermadec Islands, New Zealand")</f>
        <v>Kermadec Islands, New Zealand</v>
      </c>
      <c r="C194" s="314">
        <v>6.9</v>
      </c>
      <c r="D194" s="309"/>
      <c r="E194" s="309"/>
      <c r="F194" s="310" t="s">
        <v>23</v>
      </c>
      <c r="G194" s="311" t="s">
        <v>23</v>
      </c>
      <c r="H194" s="312" t="s">
        <v>23</v>
      </c>
      <c r="I194" s="315" t="s">
        <v>1236</v>
      </c>
    </row>
    <row r="195" spans="1:9" ht="12.3">
      <c r="A195" s="307">
        <v>41813</v>
      </c>
      <c r="B195" s="308" t="str">
        <f>HYPERLINK("http://earthquake-report.com/2014/06/23/massive-earthquake-little-sitkin-island-alaska-on-june-23-2014/","OS USA, Alaska")</f>
        <v>OS USA, Alaska</v>
      </c>
      <c r="C195" s="314">
        <v>7.9</v>
      </c>
      <c r="D195" s="309">
        <v>107</v>
      </c>
      <c r="E195" s="309" t="s">
        <v>123</v>
      </c>
      <c r="F195" s="310" t="s">
        <v>23</v>
      </c>
      <c r="G195" s="311" t="s">
        <v>23</v>
      </c>
      <c r="H195" s="312" t="s">
        <v>23</v>
      </c>
      <c r="I195" s="315" t="s">
        <v>52</v>
      </c>
    </row>
    <row r="196" spans="1:9" ht="12.3">
      <c r="A196" s="307">
        <v>41818</v>
      </c>
      <c r="B196" s="308" t="str">
        <f>HYPERLINK("http://earthquake-report.com/2014/06/28/moderate-earthquake-jorochito-bolivia-on-june-28-2014/","Bolivia")</f>
        <v>Bolivia</v>
      </c>
      <c r="C196" s="309">
        <v>4.5999999999999996</v>
      </c>
      <c r="D196" s="309">
        <v>11</v>
      </c>
      <c r="E196" s="309"/>
      <c r="F196" s="310" t="s">
        <v>23</v>
      </c>
      <c r="G196" s="311" t="s">
        <v>23</v>
      </c>
      <c r="H196" s="312">
        <v>2</v>
      </c>
      <c r="I196" s="315" t="s">
        <v>23</v>
      </c>
    </row>
    <row r="197" spans="1:9" ht="12.3">
      <c r="A197" s="307">
        <v>41818</v>
      </c>
      <c r="B197" s="301" t="str">
        <f>HYPERLINK("http://earthquake-report.com/2014/06/28/moderate-earthquake-northern-and-central-iran-on-june-28-2014/","Iran, Chorasan")</f>
        <v>Iran, Chorasan</v>
      </c>
      <c r="C197" s="309">
        <v>4.5</v>
      </c>
      <c r="D197" s="309">
        <v>10</v>
      </c>
      <c r="E197" s="309"/>
      <c r="F197" s="310" t="s">
        <v>23</v>
      </c>
      <c r="G197" s="311" t="s">
        <v>23</v>
      </c>
      <c r="H197" s="312" t="s">
        <v>1511</v>
      </c>
      <c r="I197" s="315" t="s">
        <v>23</v>
      </c>
    </row>
    <row r="198" spans="1:9" ht="12.3">
      <c r="A198" s="307">
        <v>41819</v>
      </c>
      <c r="B198" s="308" t="str">
        <f>HYPERLINK("http://earthquake-report.com/2014/06/29/moderate-earthquake-arizona-on-june-29-2014/","USA, Arizona")</f>
        <v>USA, Arizona</v>
      </c>
      <c r="C198" s="309">
        <v>5.2</v>
      </c>
      <c r="D198" s="309">
        <v>5</v>
      </c>
      <c r="E198" s="309" t="s">
        <v>35</v>
      </c>
      <c r="F198" s="310" t="s">
        <v>23</v>
      </c>
      <c r="G198" s="311" t="s">
        <v>23</v>
      </c>
      <c r="H198" s="312" t="s">
        <v>1478</v>
      </c>
      <c r="I198" s="315" t="s">
        <v>23</v>
      </c>
    </row>
    <row r="199" spans="1:9" ht="12.3">
      <c r="A199" s="307">
        <v>41819</v>
      </c>
      <c r="B199" s="301" t="str">
        <f>HYPERLINK("http://earthquake-report.com/2014/06/29/moderate-earthquake-eastern-caucasus-on-june-29-2014/","Azerbaijan")</f>
        <v>Azerbaijan</v>
      </c>
      <c r="C199" s="309">
        <v>5.2</v>
      </c>
      <c r="D199" s="309"/>
      <c r="E199" s="309"/>
      <c r="F199" s="310" t="s">
        <v>23</v>
      </c>
      <c r="G199" s="311" t="s">
        <v>23</v>
      </c>
      <c r="H199" s="312">
        <v>3</v>
      </c>
      <c r="I199" s="315" t="s">
        <v>23</v>
      </c>
    </row>
    <row r="200" spans="1:9" ht="12.3">
      <c r="A200" s="307">
        <v>41820</v>
      </c>
      <c r="B200" s="301" t="str">
        <f>HYPERLINK("http://earthquake-report.com/2014/06/30/moderate-earthquake-eastern-iran-on-june-30-2014/","Iran, Chorasan")</f>
        <v>Iran, Chorasan</v>
      </c>
      <c r="C200" s="309">
        <v>4.4000000000000004</v>
      </c>
      <c r="D200" s="309"/>
      <c r="E200" s="309"/>
      <c r="F200" s="310" t="s">
        <v>23</v>
      </c>
      <c r="G200" s="311" t="s">
        <v>23</v>
      </c>
      <c r="H200" s="312">
        <v>3</v>
      </c>
      <c r="I200" s="315" t="s">
        <v>23</v>
      </c>
    </row>
    <row r="201" spans="1:9" ht="12.3">
      <c r="A201" s="307">
        <v>41823</v>
      </c>
      <c r="B201" s="308" t="str">
        <f>HYPERLINK("http://earthquake-report.com/2014/07/03/moderate-earthquake-turkey-on-july-3-2014/","Turkey, Balikesir")</f>
        <v>Turkey, Balikesir</v>
      </c>
      <c r="C201" s="309">
        <v>4.5</v>
      </c>
      <c r="D201" s="309">
        <v>7</v>
      </c>
      <c r="E201" s="309"/>
      <c r="F201" s="310" t="s">
        <v>23</v>
      </c>
      <c r="G201" s="311" t="s">
        <v>23</v>
      </c>
      <c r="H201" s="312">
        <v>2</v>
      </c>
      <c r="I201" s="315" t="s">
        <v>23</v>
      </c>
    </row>
    <row r="202" spans="1:9" ht="12.3">
      <c r="A202" s="307">
        <v>41823</v>
      </c>
      <c r="B202" s="301" t="str">
        <f>HYPERLINK("http://earthquake-report.com/2014/07/03/moderate-earthquake-eastern-kashmir-on-july-3-2014/","Pakistan, Kashmir")</f>
        <v>Pakistan, Kashmir</v>
      </c>
      <c r="C202" s="309">
        <v>5</v>
      </c>
      <c r="D202" s="309"/>
      <c r="E202" s="309"/>
      <c r="F202" s="310" t="s">
        <v>23</v>
      </c>
      <c r="G202" s="311" t="s">
        <v>23</v>
      </c>
      <c r="H202" s="312">
        <v>3</v>
      </c>
      <c r="I202" s="315" t="s">
        <v>23</v>
      </c>
    </row>
    <row r="203" spans="1:9" ht="12.3">
      <c r="A203" s="307">
        <v>41824</v>
      </c>
      <c r="B203" s="301" t="str">
        <f>HYPERLINK("http://earthquake-report.com/2014/07/04/strong-earthquake-eastern-honshu-japan-on-july-4-2014/","Japan, Honshu")</f>
        <v>Japan, Honshu</v>
      </c>
      <c r="C203" s="314">
        <v>5.8</v>
      </c>
      <c r="D203" s="309"/>
      <c r="E203" s="309" t="s">
        <v>1503</v>
      </c>
      <c r="F203" s="310" t="s">
        <v>23</v>
      </c>
      <c r="G203" s="311">
        <v>1</v>
      </c>
      <c r="H203" s="312" t="s">
        <v>23</v>
      </c>
      <c r="I203" s="315" t="s">
        <v>23</v>
      </c>
    </row>
    <row r="204" spans="1:9" ht="12.3">
      <c r="A204" s="307">
        <v>41825</v>
      </c>
      <c r="B204" s="308" t="str">
        <f>HYPERLINK("http://earthquake-report.com/2014/07/05/moderate-earthquake-southern-iran-on-july-5-2014/","Iran, Fars")</f>
        <v>Iran, Fars</v>
      </c>
      <c r="C204" s="309">
        <v>4.9000000000000004</v>
      </c>
      <c r="D204" s="309">
        <v>19</v>
      </c>
      <c r="E204" s="309"/>
      <c r="F204" s="310" t="s">
        <v>23</v>
      </c>
      <c r="G204" s="311" t="s">
        <v>23</v>
      </c>
      <c r="H204" s="312" t="s">
        <v>1478</v>
      </c>
      <c r="I204" s="315" t="s">
        <v>23</v>
      </c>
    </row>
    <row r="205" spans="1:9" ht="12.3">
      <c r="A205" s="307">
        <v>41825</v>
      </c>
      <c r="B205" s="308" t="str">
        <f>HYPERLINK("http://earthquake-report.com/2014/07/05/minor-earthquake-bosnia-and-herzegovina-on-july-5-2014/","Bosnia-Herzegowina")</f>
        <v>Bosnia-Herzegowina</v>
      </c>
      <c r="C205" s="309">
        <v>3.6</v>
      </c>
      <c r="D205" s="309"/>
      <c r="E205" s="309" t="s">
        <v>134</v>
      </c>
      <c r="F205" s="310" t="s">
        <v>23</v>
      </c>
      <c r="G205" s="311" t="s">
        <v>23</v>
      </c>
      <c r="H205" s="312">
        <v>1</v>
      </c>
      <c r="I205" s="315" t="s">
        <v>23</v>
      </c>
    </row>
    <row r="206" spans="1:9" ht="12.3">
      <c r="A206" s="307">
        <v>41825</v>
      </c>
      <c r="B206" s="308" t="str">
        <f>HYPERLINK("http://earthquake-report.com/2014/07/05/moderate-earthquake-poland-on-july-5-2014/","Poland")</f>
        <v>Poland</v>
      </c>
      <c r="C206" s="309" t="s">
        <v>1840</v>
      </c>
      <c r="D206" s="309"/>
      <c r="E206" s="309"/>
      <c r="F206" s="310" t="s">
        <v>23</v>
      </c>
      <c r="G206" s="311">
        <v>3</v>
      </c>
      <c r="H206" s="312">
        <v>1</v>
      </c>
      <c r="I206" s="315" t="s">
        <v>23</v>
      </c>
    </row>
    <row r="207" spans="1:9" ht="12.3">
      <c r="A207" s="307">
        <v>41825</v>
      </c>
      <c r="B207" s="308" t="str">
        <f>HYPERLINK("http://earthquake-report.com/2014/07/05/moderate-earthquake-jordansyria-region-on-july-5-2014/","Lebanon")</f>
        <v>Lebanon</v>
      </c>
      <c r="C207" s="309">
        <v>4</v>
      </c>
      <c r="D207" s="309"/>
      <c r="E207" s="309"/>
      <c r="F207" s="310" t="s">
        <v>23</v>
      </c>
      <c r="G207" s="311" t="s">
        <v>23</v>
      </c>
      <c r="H207" s="312" t="s">
        <v>1478</v>
      </c>
      <c r="I207" s="315" t="s">
        <v>23</v>
      </c>
    </row>
    <row r="208" spans="1:9" ht="12.3">
      <c r="A208" s="300">
        <v>41827</v>
      </c>
      <c r="B208" s="301" t="str">
        <f>HYPERLINK("http://earthquake-report.com/2014/07/07/massive-earthquake-mazatan-mexico-on-july-7-2014/","Mexico, Chiapas")</f>
        <v>Mexico, Chiapas</v>
      </c>
      <c r="C208" s="302">
        <v>6.9</v>
      </c>
      <c r="D208" s="302">
        <v>60</v>
      </c>
      <c r="E208" s="302" t="s">
        <v>123</v>
      </c>
      <c r="F208" s="303">
        <v>8</v>
      </c>
      <c r="G208" s="321">
        <v>410</v>
      </c>
      <c r="H208" s="305">
        <v>5</v>
      </c>
      <c r="I208" s="306" t="s">
        <v>23</v>
      </c>
    </row>
    <row r="209" spans="1:9" ht="12.3">
      <c r="A209" s="307">
        <v>41827</v>
      </c>
      <c r="B209" s="309" t="s">
        <v>1017</v>
      </c>
      <c r="C209" s="309" t="s">
        <v>1772</v>
      </c>
      <c r="D209" s="309">
        <v>6</v>
      </c>
      <c r="E209" s="309"/>
      <c r="F209" s="310" t="s">
        <v>23</v>
      </c>
      <c r="G209" s="311" t="s">
        <v>23</v>
      </c>
      <c r="H209" s="312" t="s">
        <v>1478</v>
      </c>
      <c r="I209" s="313" t="s">
        <v>23</v>
      </c>
    </row>
    <row r="210" spans="1:9" ht="12.3">
      <c r="A210" s="307">
        <v>41828</v>
      </c>
      <c r="B210" s="301" t="str">
        <f>HYPERLINK("http://earthquake-report.com/2014/07/08/strong-earthquake-hokkaido-japan-region-on-july-8-2014/","Japan, Hokkaido")</f>
        <v>Japan, Hokkaido</v>
      </c>
      <c r="C210" s="314">
        <v>5.8</v>
      </c>
      <c r="D210" s="309">
        <v>5</v>
      </c>
      <c r="E210" s="309" t="s">
        <v>1503</v>
      </c>
      <c r="F210" s="310" t="s">
        <v>23</v>
      </c>
      <c r="G210" s="311">
        <v>3</v>
      </c>
      <c r="H210" s="312" t="s">
        <v>23</v>
      </c>
      <c r="I210" s="313" t="s">
        <v>23</v>
      </c>
    </row>
    <row r="211" spans="1:9" ht="12.3">
      <c r="A211" s="307">
        <v>41828</v>
      </c>
      <c r="B211" s="301" t="str">
        <f>HYPERLINK("http://earthquake-report.com/2014/07/08/moderate-earthquake-southern-xinjiang-china-on-july-8-2014-2/","China, Xinjiang")</f>
        <v>China, Xinjiang</v>
      </c>
      <c r="C211" s="309">
        <v>5.0999999999999996</v>
      </c>
      <c r="D211" s="309">
        <v>8</v>
      </c>
      <c r="E211" s="309"/>
      <c r="F211" s="310" t="s">
        <v>23</v>
      </c>
      <c r="G211" s="311">
        <v>1</v>
      </c>
      <c r="H211" s="312" t="s">
        <v>1508</v>
      </c>
      <c r="I211" s="313" t="s">
        <v>23</v>
      </c>
    </row>
    <row r="212" spans="1:9" ht="12.3">
      <c r="A212" s="307">
        <v>41829</v>
      </c>
      <c r="B212" s="309" t="s">
        <v>1919</v>
      </c>
      <c r="C212" s="309">
        <v>5.3</v>
      </c>
      <c r="D212" s="309">
        <v>45</v>
      </c>
      <c r="E212" s="309"/>
      <c r="F212" s="310" t="s">
        <v>23</v>
      </c>
      <c r="G212" s="311">
        <v>2</v>
      </c>
      <c r="H212" s="312" t="s">
        <v>23</v>
      </c>
      <c r="I212" s="313" t="s">
        <v>23</v>
      </c>
    </row>
    <row r="213" spans="1:9" ht="12.3">
      <c r="A213" s="307">
        <v>41831</v>
      </c>
      <c r="B213" s="309" t="s">
        <v>1909</v>
      </c>
      <c r="C213" s="309" t="s">
        <v>1920</v>
      </c>
      <c r="D213" s="309">
        <v>12</v>
      </c>
      <c r="E213" s="309"/>
      <c r="F213" s="310" t="s">
        <v>23</v>
      </c>
      <c r="G213" s="311" t="s">
        <v>23</v>
      </c>
      <c r="H213" s="312">
        <v>2</v>
      </c>
      <c r="I213" s="313" t="s">
        <v>23</v>
      </c>
    </row>
    <row r="214" spans="1:9" ht="12.3">
      <c r="A214" s="307">
        <v>41831</v>
      </c>
      <c r="B214" s="308" t="str">
        <f>HYPERLINK("http://earthquake-report.com/2014/07/11/moderate-earthquake-france-on-july-11-2014/","OS UK, Channel Islands")</f>
        <v>OS UK, Channel Islands</v>
      </c>
      <c r="C214" s="309">
        <v>4.8</v>
      </c>
      <c r="D214" s="309"/>
      <c r="E214" s="309" t="s">
        <v>134</v>
      </c>
      <c r="F214" s="310" t="s">
        <v>23</v>
      </c>
      <c r="G214" s="311" t="s">
        <v>23</v>
      </c>
      <c r="H214" s="312">
        <v>1</v>
      </c>
      <c r="I214" s="313" t="s">
        <v>23</v>
      </c>
    </row>
    <row r="215" spans="1:9" ht="12.3">
      <c r="A215" s="307">
        <v>41831</v>
      </c>
      <c r="B215" s="309" t="s">
        <v>1477</v>
      </c>
      <c r="C215" s="309">
        <v>3.6</v>
      </c>
      <c r="D215" s="309">
        <v>21</v>
      </c>
      <c r="E215" s="309"/>
      <c r="F215" s="310" t="s">
        <v>23</v>
      </c>
      <c r="G215" s="311" t="s">
        <v>23</v>
      </c>
      <c r="H215" s="312">
        <v>1</v>
      </c>
      <c r="I215" s="313" t="s">
        <v>23</v>
      </c>
    </row>
    <row r="216" spans="1:9" ht="12.3">
      <c r="A216" s="307">
        <v>41831</v>
      </c>
      <c r="B216" s="301" t="str">
        <f>HYPERLINK("http://earthquake-report.com/2014/07/11/very-strong-earthquake-off-east-coast-of-honshu-japan-on-july-11-2014/","OS Japan, Honshu")</f>
        <v>OS Japan, Honshu</v>
      </c>
      <c r="C216" s="314">
        <v>6.8</v>
      </c>
      <c r="D216" s="309"/>
      <c r="E216" s="309" t="s">
        <v>1787</v>
      </c>
      <c r="F216" s="310" t="s">
        <v>23</v>
      </c>
      <c r="G216" s="311">
        <v>3</v>
      </c>
      <c r="H216" s="312" t="s">
        <v>23</v>
      </c>
      <c r="I216" s="315" t="s">
        <v>588</v>
      </c>
    </row>
    <row r="217" spans="1:9" ht="12.3">
      <c r="A217" s="307">
        <v>41833</v>
      </c>
      <c r="B217" s="301" t="str">
        <f>HYPERLINK("http://earthquake-report.com/2014/07/13/moderate-earthquake-southern-peru-on-july-13-2014-2/","Peru, Arequipa")</f>
        <v>Peru, Arequipa</v>
      </c>
      <c r="C217" s="309">
        <v>3.9</v>
      </c>
      <c r="D217" s="309">
        <v>14</v>
      </c>
      <c r="E217" s="309"/>
      <c r="F217" s="310" t="s">
        <v>23</v>
      </c>
      <c r="G217" s="311" t="s">
        <v>23</v>
      </c>
      <c r="H217" s="312">
        <v>3</v>
      </c>
      <c r="I217" s="313" t="s">
        <v>23</v>
      </c>
    </row>
    <row r="218" spans="1:9" ht="12.3">
      <c r="A218" s="307">
        <v>41833</v>
      </c>
      <c r="B218" s="308" t="str">
        <f>HYPERLINK("http://earthquake-report.com/2014/07/13/moderate-earthquake-near-coast-of-northern-chile-on-july-13-2014/","OS Chile, Tarapaca")</f>
        <v>OS Chile, Tarapaca</v>
      </c>
      <c r="C218" s="314">
        <v>5.6</v>
      </c>
      <c r="D218" s="309"/>
      <c r="E218" s="309" t="s">
        <v>123</v>
      </c>
      <c r="F218" s="310" t="s">
        <v>23</v>
      </c>
      <c r="G218" s="311" t="s">
        <v>23</v>
      </c>
      <c r="H218" s="312">
        <v>1</v>
      </c>
      <c r="I218" s="313" t="s">
        <v>23</v>
      </c>
    </row>
    <row r="219" spans="1:9" ht="12.3">
      <c r="A219" s="307">
        <v>41834</v>
      </c>
      <c r="B219" s="301" t="str">
        <f>HYPERLINK("http://wp.me/p1bAUO-w5f","OS Indonesia, Java")</f>
        <v>OS Indonesia, Java</v>
      </c>
      <c r="C219" s="314">
        <v>5.6</v>
      </c>
      <c r="D219" s="309"/>
      <c r="E219" s="309" t="s">
        <v>684</v>
      </c>
      <c r="F219" s="310" t="s">
        <v>23</v>
      </c>
      <c r="G219" s="311" t="s">
        <v>23</v>
      </c>
      <c r="H219" s="312">
        <v>2</v>
      </c>
      <c r="I219" s="313" t="s">
        <v>23</v>
      </c>
    </row>
    <row r="220" spans="1:9" ht="12.3">
      <c r="A220" s="307">
        <v>41834</v>
      </c>
      <c r="B220" s="309" t="s">
        <v>1155</v>
      </c>
      <c r="C220" s="309" t="s">
        <v>1921</v>
      </c>
      <c r="D220" s="309"/>
      <c r="E220" s="309"/>
      <c r="F220" s="310" t="s">
        <v>23</v>
      </c>
      <c r="G220" s="311" t="s">
        <v>23</v>
      </c>
      <c r="H220" s="312" t="s">
        <v>1478</v>
      </c>
      <c r="I220" s="313" t="s">
        <v>23</v>
      </c>
    </row>
    <row r="221" spans="1:9" ht="12.3">
      <c r="A221" s="307">
        <v>41835</v>
      </c>
      <c r="B221" s="308" t="str">
        <f>HYPERLINK("http://earthquake-report.com/2014/07/15/minor-earthquake-harrah-oklahoma-on-july-15-2014/","USA, Oklahoma")</f>
        <v>USA, Oklahoma</v>
      </c>
      <c r="C221" s="309" t="s">
        <v>1910</v>
      </c>
      <c r="D221" s="309">
        <v>9</v>
      </c>
      <c r="E221" s="309" t="s">
        <v>684</v>
      </c>
      <c r="F221" s="310" t="s">
        <v>23</v>
      </c>
      <c r="G221" s="311" t="s">
        <v>23</v>
      </c>
      <c r="H221" s="312" t="s">
        <v>1478</v>
      </c>
      <c r="I221" s="313" t="s">
        <v>23</v>
      </c>
    </row>
    <row r="222" spans="1:9" ht="12.3">
      <c r="A222" s="307">
        <v>41835</v>
      </c>
      <c r="B222" s="309" t="s">
        <v>1922</v>
      </c>
      <c r="C222" s="309">
        <v>4.3</v>
      </c>
      <c r="D222" s="309"/>
      <c r="E222" s="309"/>
      <c r="F222" s="310" t="s">
        <v>23</v>
      </c>
      <c r="G222" s="311" t="s">
        <v>23</v>
      </c>
      <c r="H222" s="312" t="s">
        <v>1478</v>
      </c>
      <c r="I222" s="313" t="s">
        <v>23</v>
      </c>
    </row>
    <row r="223" spans="1:9" ht="12.3">
      <c r="A223" s="307">
        <v>41837</v>
      </c>
      <c r="B223" s="308" t="str">
        <f>HYPERLINK("http://earthquake-report.com/2014/07/17/minor-earthquake-caldwell-kansas-on-july-17-2014/","USA, Kansas")</f>
        <v>USA, Kansas</v>
      </c>
      <c r="C223" s="309" t="s">
        <v>1923</v>
      </c>
      <c r="D223" s="309">
        <v>5</v>
      </c>
      <c r="E223" s="309" t="s">
        <v>684</v>
      </c>
      <c r="F223" s="310" t="s">
        <v>23</v>
      </c>
      <c r="G223" s="311" t="s">
        <v>23</v>
      </c>
      <c r="H223" s="312">
        <v>1</v>
      </c>
      <c r="I223" s="313" t="s">
        <v>23</v>
      </c>
    </row>
    <row r="224" spans="1:9" ht="12.3">
      <c r="A224" s="307">
        <v>41838</v>
      </c>
      <c r="B224" s="308" t="str">
        <f>HYPERLINK("http://earthquake-report.com/2014/07/18/moderate-earthquake-portachuelo-bolivia-on-july-18-2014/","Bolivia")</f>
        <v>Bolivia</v>
      </c>
      <c r="C224" s="309">
        <v>4.5</v>
      </c>
      <c r="D224" s="309"/>
      <c r="E224" s="309"/>
      <c r="F224" s="310" t="s">
        <v>23</v>
      </c>
      <c r="G224" s="311" t="s">
        <v>23</v>
      </c>
      <c r="H224" s="312">
        <v>2</v>
      </c>
      <c r="I224" s="313" t="s">
        <v>23</v>
      </c>
    </row>
    <row r="225" spans="1:9" ht="12.3">
      <c r="A225" s="307">
        <v>41839</v>
      </c>
      <c r="B225" s="308" t="str">
        <f>HYPERLINK("http://earthquake-report.com/2014/07/19/moderate-earthquake-vietnam-on-july-19-2014/","Vietnam")</f>
        <v>Vietnam</v>
      </c>
      <c r="C225" s="309">
        <v>4.3</v>
      </c>
      <c r="D225" s="309">
        <v>8</v>
      </c>
      <c r="E225" s="309"/>
      <c r="F225" s="310" t="s">
        <v>23</v>
      </c>
      <c r="G225" s="311" t="s">
        <v>23</v>
      </c>
      <c r="H225" s="312" t="s">
        <v>1478</v>
      </c>
      <c r="I225" s="313" t="s">
        <v>23</v>
      </c>
    </row>
    <row r="226" spans="1:9" ht="12.3">
      <c r="A226" s="307">
        <v>41840</v>
      </c>
      <c r="B226" s="309" t="s">
        <v>1518</v>
      </c>
      <c r="C226" s="309">
        <v>2.4</v>
      </c>
      <c r="D226" s="309"/>
      <c r="E226" s="309"/>
      <c r="F226" s="310" t="s">
        <v>23</v>
      </c>
      <c r="G226" s="311" t="s">
        <v>23</v>
      </c>
      <c r="H226" s="312">
        <v>2</v>
      </c>
      <c r="I226" s="313" t="s">
        <v>23</v>
      </c>
    </row>
    <row r="227" spans="1:9" ht="12.3">
      <c r="A227" s="307">
        <v>41842</v>
      </c>
      <c r="B227" s="301" t="str">
        <f>HYPERLINK("http://earthquake-report.com/2014/07/22/moderate-earthquake-southern-iran-on-july-22-2014-2/","Iran, Kerman")</f>
        <v>Iran, Kerman</v>
      </c>
      <c r="C227" s="309">
        <v>5</v>
      </c>
      <c r="D227" s="309">
        <v>8</v>
      </c>
      <c r="E227" s="309"/>
      <c r="F227" s="310" t="s">
        <v>23</v>
      </c>
      <c r="G227" s="311" t="s">
        <v>23</v>
      </c>
      <c r="H227" s="312" t="s">
        <v>1511</v>
      </c>
      <c r="I227" s="313" t="s">
        <v>23</v>
      </c>
    </row>
    <row r="228" spans="1:9" ht="12.3">
      <c r="A228" s="307">
        <v>41844</v>
      </c>
      <c r="B228" s="308" t="str">
        <f>HYPERLINK("http://earthquake-report.com/2014/07/24/moderate-earthquake-alajuela-costa-rica-on-july-24-2014/","Costa Rica")</f>
        <v>Costa Rica</v>
      </c>
      <c r="C228" s="309">
        <v>4.5999999999999996</v>
      </c>
      <c r="D228" s="309">
        <v>6</v>
      </c>
      <c r="E228" s="309" t="s">
        <v>123</v>
      </c>
      <c r="F228" s="310" t="s">
        <v>23</v>
      </c>
      <c r="G228" s="311" t="s">
        <v>23</v>
      </c>
      <c r="H228" s="312" t="s">
        <v>1478</v>
      </c>
      <c r="I228" s="313" t="s">
        <v>23</v>
      </c>
    </row>
    <row r="229" spans="1:9" ht="12.3">
      <c r="A229" s="307">
        <v>41844</v>
      </c>
      <c r="B229" s="309" t="s">
        <v>1924</v>
      </c>
      <c r="C229" s="309">
        <v>3.5</v>
      </c>
      <c r="D229" s="309"/>
      <c r="E229" s="309"/>
      <c r="F229" s="310" t="s">
        <v>23</v>
      </c>
      <c r="G229" s="311" t="s">
        <v>23</v>
      </c>
      <c r="H229" s="312">
        <v>1</v>
      </c>
      <c r="I229" s="313" t="s">
        <v>23</v>
      </c>
    </row>
    <row r="230" spans="1:9" ht="12.3">
      <c r="A230" s="307">
        <v>41844</v>
      </c>
      <c r="B230" s="301" t="str">
        <f>HYPERLINK("http://earthquake-report.com/2014/07/25/moderate-earthquake-leyte-philippines-on-july-24-2014/A225","Philippines, Leyte")</f>
        <v>Philippines, Leyte</v>
      </c>
      <c r="C230" s="309">
        <v>5.4</v>
      </c>
      <c r="D230" s="309">
        <v>7</v>
      </c>
      <c r="E230" s="309" t="s">
        <v>35</v>
      </c>
      <c r="F230" s="310" t="s">
        <v>23</v>
      </c>
      <c r="G230" s="311" t="s">
        <v>23</v>
      </c>
      <c r="H230" s="312" t="s">
        <v>1511</v>
      </c>
      <c r="I230" s="313" t="s">
        <v>23</v>
      </c>
    </row>
    <row r="231" spans="1:9" ht="12.3">
      <c r="A231" s="307">
        <v>41845</v>
      </c>
      <c r="B231" s="308" t="str">
        <f>HYPERLINK("http://wp.me/p1bAUO-wjh","OS USA, Alaska")</f>
        <v>OS USA, Alaska</v>
      </c>
      <c r="C231" s="314">
        <v>5.9</v>
      </c>
      <c r="D231" s="309">
        <v>10</v>
      </c>
      <c r="E231" s="309" t="s">
        <v>123</v>
      </c>
      <c r="F231" s="310" t="s">
        <v>23</v>
      </c>
      <c r="G231" s="311" t="s">
        <v>23</v>
      </c>
      <c r="H231" s="312">
        <v>1</v>
      </c>
      <c r="I231" s="313" t="s">
        <v>1739</v>
      </c>
    </row>
    <row r="232" spans="1:9" ht="12.3">
      <c r="A232" s="307">
        <v>41849</v>
      </c>
      <c r="B232" s="308" t="str">
        <f>HYPERLINK("http://earthquake-report.com/2014/07/30/moderate-earthquake-wenchang-china-on-july-29-2014/","China, Sichuan")</f>
        <v>China, Sichuan</v>
      </c>
      <c r="C232" s="309">
        <v>4.9000000000000004</v>
      </c>
      <c r="D232" s="309">
        <v>15</v>
      </c>
      <c r="E232" s="309"/>
      <c r="F232" s="310" t="s">
        <v>23</v>
      </c>
      <c r="G232" s="311">
        <v>4</v>
      </c>
      <c r="H232" s="312" t="s">
        <v>1511</v>
      </c>
      <c r="I232" s="313" t="s">
        <v>23</v>
      </c>
    </row>
    <row r="233" spans="1:9" ht="12.3">
      <c r="A233" s="307">
        <v>41849</v>
      </c>
      <c r="B233" s="308" t="str">
        <f>HYPERLINK("http://earthquake-report.com/2014/07/30/moderate-earthquake-wenchang-china-on-july-29-2014/","China, Sichuan (aftershock)")</f>
        <v>China, Sichuan (aftershock)</v>
      </c>
      <c r="C233" s="309">
        <v>4.5999999999999996</v>
      </c>
      <c r="D233" s="309">
        <v>15</v>
      </c>
      <c r="E233" s="309"/>
      <c r="F233" s="310" t="s">
        <v>23</v>
      </c>
      <c r="G233" s="311" t="s">
        <v>23</v>
      </c>
      <c r="H233" s="312" t="s">
        <v>1478</v>
      </c>
      <c r="I233" s="313" t="s">
        <v>23</v>
      </c>
    </row>
    <row r="234" spans="1:9" ht="12.3">
      <c r="A234" s="300">
        <v>41849</v>
      </c>
      <c r="B234" s="301" t="str">
        <f>HYPERLINK("http://earthquake-report.com/2014/07/29/very-strong-earthquake-veracruz-mexico-on-july-29-2014/","Mexico, Veracruz")</f>
        <v>Mexico, Veracruz</v>
      </c>
      <c r="C234" s="302">
        <v>6.4</v>
      </c>
      <c r="D234" s="302">
        <v>131</v>
      </c>
      <c r="E234" s="302" t="s">
        <v>134</v>
      </c>
      <c r="F234" s="303">
        <v>1</v>
      </c>
      <c r="G234" s="321">
        <v>1</v>
      </c>
      <c r="H234" s="305" t="s">
        <v>1511</v>
      </c>
      <c r="I234" s="306" t="s">
        <v>23</v>
      </c>
    </row>
    <row r="235" spans="1:9" ht="12.3">
      <c r="A235" s="326">
        <v>41851</v>
      </c>
      <c r="B235" s="308" t="str">
        <f>HYPERLINK("http://earthquake-report.com/2014/07/30/earthquakes-in-the-world-on-july-31-2014-m2-9-or-more/","Philippines, Leyte (aftershock)")</f>
        <v>Philippines, Leyte (aftershock)</v>
      </c>
      <c r="C235" s="328">
        <v>3.8</v>
      </c>
      <c r="D235" s="328">
        <v>18</v>
      </c>
      <c r="E235" s="328" t="s">
        <v>684</v>
      </c>
      <c r="F235" s="310" t="s">
        <v>23</v>
      </c>
      <c r="G235" s="311" t="s">
        <v>23</v>
      </c>
      <c r="H235" s="319">
        <v>2</v>
      </c>
      <c r="I235" s="330" t="s">
        <v>23</v>
      </c>
    </row>
    <row r="236" spans="1:9" ht="12.3">
      <c r="A236" s="300">
        <v>41852</v>
      </c>
      <c r="B236" s="301" t="str">
        <f>HYPERLINK("http://wp.me/p1bAUO-wrO","OS Algeria, Algiers")</f>
        <v>OS Algeria, Algiers</v>
      </c>
      <c r="C236" s="302">
        <v>5.6</v>
      </c>
      <c r="D236" s="302">
        <v>6</v>
      </c>
      <c r="E236" s="302" t="s">
        <v>35</v>
      </c>
      <c r="F236" s="303">
        <v>6</v>
      </c>
      <c r="G236" s="321">
        <v>420</v>
      </c>
      <c r="H236" s="305" t="s">
        <v>1511</v>
      </c>
      <c r="I236" s="306" t="s">
        <v>23</v>
      </c>
    </row>
    <row r="237" spans="1:9" ht="12.3">
      <c r="A237" s="300">
        <v>41854</v>
      </c>
      <c r="B237" s="301" t="str">
        <f>HYPERLINK("http://earthquake-report.com/2014/08/03/very-strong-earthquake-sichuan-yunnan-guizhou-rg-china-on-august-3-2014/","China, Yunnan")</f>
        <v>China, Yunnan</v>
      </c>
      <c r="C237" s="302">
        <v>6.5</v>
      </c>
      <c r="D237" s="302">
        <v>12</v>
      </c>
      <c r="E237" s="302" t="s">
        <v>687</v>
      </c>
      <c r="F237" s="303">
        <v>729</v>
      </c>
      <c r="G237" s="321">
        <v>3143</v>
      </c>
      <c r="H237" s="305" t="s">
        <v>1163</v>
      </c>
      <c r="I237" s="306" t="s">
        <v>23</v>
      </c>
    </row>
    <row r="238" spans="1:9" ht="12.3">
      <c r="A238" s="307">
        <v>41854</v>
      </c>
      <c r="B238" s="308" t="str">
        <f>HYPERLINK("http://earthquake-report.com/2014/08/03/moderate-earthquake-peru-ecuador-border-region-on-august-3-2014-2/","Peru, Tumbes")</f>
        <v>Peru, Tumbes</v>
      </c>
      <c r="C238" s="314">
        <v>5.8</v>
      </c>
      <c r="D238" s="309">
        <v>30</v>
      </c>
      <c r="E238" s="309" t="s">
        <v>134</v>
      </c>
      <c r="F238" s="310" t="s">
        <v>23</v>
      </c>
      <c r="G238" s="311" t="s">
        <v>23</v>
      </c>
      <c r="H238" s="312" t="s">
        <v>1478</v>
      </c>
      <c r="I238" s="313" t="s">
        <v>23</v>
      </c>
    </row>
    <row r="239" spans="1:9" ht="12.3">
      <c r="A239" s="307">
        <v>41854</v>
      </c>
      <c r="B239" s="308" t="str">
        <f>HYPERLINK("http://earthquake-report.com/2014/08/04/minor-earthquake-germany-on-august-3-2014/","Czech Republic")</f>
        <v>Czech Republic</v>
      </c>
      <c r="C239" s="309">
        <v>3.5</v>
      </c>
      <c r="D239" s="309">
        <v>9</v>
      </c>
      <c r="E239" s="309" t="s">
        <v>134</v>
      </c>
      <c r="F239" s="310" t="s">
        <v>23</v>
      </c>
      <c r="G239" s="311" t="s">
        <v>23</v>
      </c>
      <c r="H239" s="312" t="s">
        <v>1478</v>
      </c>
      <c r="I239" s="313" t="s">
        <v>23</v>
      </c>
    </row>
    <row r="240" spans="1:9" ht="12.3">
      <c r="A240" s="307">
        <v>41854</v>
      </c>
      <c r="B240" s="314" t="s">
        <v>1925</v>
      </c>
      <c r="C240" s="309">
        <v>5</v>
      </c>
      <c r="D240" s="309"/>
      <c r="E240" s="309"/>
      <c r="F240" s="310" t="s">
        <v>23</v>
      </c>
      <c r="G240" s="311">
        <v>1</v>
      </c>
      <c r="H240" s="312">
        <v>3</v>
      </c>
      <c r="I240" s="313" t="s">
        <v>23</v>
      </c>
    </row>
    <row r="241" spans="1:9" ht="12.3">
      <c r="A241" s="300">
        <v>41856</v>
      </c>
      <c r="B241" s="301" t="str">
        <f>HYPERLINK("http://earthquake-report.com/2014/08/05/strong-earthquake-south-africa-on-august-5-2014/","South Africa")</f>
        <v>South Africa</v>
      </c>
      <c r="C241" s="302">
        <v>5.5</v>
      </c>
      <c r="D241" s="302">
        <v>8</v>
      </c>
      <c r="E241" s="302" t="s">
        <v>1299</v>
      </c>
      <c r="F241" s="303">
        <v>1</v>
      </c>
      <c r="G241" s="321">
        <v>38</v>
      </c>
      <c r="H241" s="305" t="s">
        <v>1508</v>
      </c>
      <c r="I241" s="306" t="s">
        <v>23</v>
      </c>
    </row>
    <row r="242" spans="1:9" ht="12.3">
      <c r="A242" s="307">
        <v>41858</v>
      </c>
      <c r="B242" s="308" t="str">
        <f>HYPERLINK("http://earthquake-report.com/2014/08/07/moderate-earthquake-waimea-hawaii-on-august-7-2014/","USA, Hawaii")</f>
        <v>USA, Hawaii</v>
      </c>
      <c r="C242" s="309">
        <v>4.5</v>
      </c>
      <c r="D242" s="309">
        <v>17</v>
      </c>
      <c r="E242" s="309" t="s">
        <v>684</v>
      </c>
      <c r="F242" s="310" t="s">
        <v>23</v>
      </c>
      <c r="G242" s="311" t="s">
        <v>23</v>
      </c>
      <c r="H242" s="312">
        <v>1</v>
      </c>
      <c r="I242" s="313" t="s">
        <v>23</v>
      </c>
    </row>
    <row r="243" spans="1:9" ht="12.3">
      <c r="A243" s="307">
        <v>41860</v>
      </c>
      <c r="B243" s="308" t="str">
        <f>HYPERLINK("http://earthquake-report.com/2014/08/08/earthquakes-in-the-world-on-august-9-2014-m2-9-or-more/","Canada, Alberta")</f>
        <v>Canada, Alberta</v>
      </c>
      <c r="C243" s="309">
        <v>4.3</v>
      </c>
      <c r="D243" s="309">
        <v>5</v>
      </c>
      <c r="E243" s="309"/>
      <c r="F243" s="310" t="s">
        <v>23</v>
      </c>
      <c r="G243" s="311" t="s">
        <v>23</v>
      </c>
      <c r="H243" s="312">
        <v>1</v>
      </c>
      <c r="I243" s="313" t="s">
        <v>23</v>
      </c>
    </row>
    <row r="244" spans="1:9" ht="12.3">
      <c r="A244" s="300">
        <v>41863</v>
      </c>
      <c r="B244" s="301" t="str">
        <f>HYPERLINK("http://earthquake-report.com/2014/08/12/moderate-earthquake-ecuador-on-august-12-2014/","Ecuador (Quito Area)")</f>
        <v>Ecuador (Quito Area)</v>
      </c>
      <c r="C244" s="302">
        <v>5.0999999999999996</v>
      </c>
      <c r="D244" s="302">
        <v>5</v>
      </c>
      <c r="E244" s="302" t="s">
        <v>35</v>
      </c>
      <c r="F244" s="303">
        <v>3</v>
      </c>
      <c r="G244" s="321">
        <v>8</v>
      </c>
      <c r="H244" s="305" t="s">
        <v>1511</v>
      </c>
      <c r="I244" s="306" t="s">
        <v>23</v>
      </c>
    </row>
    <row r="245" spans="1:9" ht="12.3">
      <c r="A245" s="326">
        <v>41864</v>
      </c>
      <c r="B245" s="308" t="str">
        <f>HYPERLINK("http://earthquake-report.com/2014/08/13/strong-earthquake-near-coast-of-guerrero-mexico-on-august-13-2014/","Mexico, Oaxaca")</f>
        <v>Mexico, Oaxaca</v>
      </c>
      <c r="C245" s="328">
        <v>5.4</v>
      </c>
      <c r="D245" s="328"/>
      <c r="E245" s="328" t="s">
        <v>35</v>
      </c>
      <c r="F245" s="310" t="s">
        <v>23</v>
      </c>
      <c r="G245" s="311" t="s">
        <v>23</v>
      </c>
      <c r="H245" s="319">
        <v>2</v>
      </c>
      <c r="I245" s="330" t="s">
        <v>23</v>
      </c>
    </row>
    <row r="246" spans="1:9" ht="12.3">
      <c r="A246" s="300">
        <v>41865</v>
      </c>
      <c r="B246" s="301" t="str">
        <f>HYPERLINK("http://earthquake-report.com/2014/08/14/strong-earthquake-northern-chile-on-august-14-2014/","Chile, Tarapaca")</f>
        <v>Chile, Tarapaca</v>
      </c>
      <c r="C246" s="302">
        <v>5.7</v>
      </c>
      <c r="D246" s="302">
        <v>46</v>
      </c>
      <c r="E246" s="302" t="s">
        <v>35</v>
      </c>
      <c r="F246" s="303">
        <v>1</v>
      </c>
      <c r="G246" s="321" t="s">
        <v>23</v>
      </c>
      <c r="H246" s="305">
        <v>1</v>
      </c>
      <c r="I246" s="315" t="s">
        <v>23</v>
      </c>
    </row>
    <row r="247" spans="1:9" ht="12.3">
      <c r="A247" s="307">
        <v>41867</v>
      </c>
      <c r="B247" s="301" t="str">
        <f>HYPERLINK("http://earthquake-report.com/2014/08/16/moderate-earthquake-colombia-ecuador-border-region-on-august-16-2014/","Ecuador (Quito Area)")</f>
        <v>Ecuador (Quito Area)</v>
      </c>
      <c r="C247" s="309">
        <v>4.7</v>
      </c>
      <c r="D247" s="309">
        <v>5</v>
      </c>
      <c r="E247" s="309"/>
      <c r="F247" s="310" t="s">
        <v>23</v>
      </c>
      <c r="G247" s="311">
        <v>13</v>
      </c>
      <c r="H247" s="312">
        <v>2</v>
      </c>
      <c r="I247" s="313" t="s">
        <v>23</v>
      </c>
    </row>
    <row r="248" spans="1:9" ht="12.3">
      <c r="A248" s="307">
        <v>41867</v>
      </c>
      <c r="B248" s="301" t="str">
        <f>HYPERLINK("http://earthquake-report.com/2014/08/16/moderate-earthquake-eastern-sichuan-china-on-august-16-2014/","China, Yunnan")</f>
        <v>China, Yunnan</v>
      </c>
      <c r="C248" s="309">
        <v>5</v>
      </c>
      <c r="D248" s="309">
        <v>7</v>
      </c>
      <c r="E248" s="309"/>
      <c r="F248" s="310" t="s">
        <v>23</v>
      </c>
      <c r="G248" s="311">
        <v>21</v>
      </c>
      <c r="H248" s="312">
        <v>3</v>
      </c>
      <c r="I248" s="313" t="s">
        <v>23</v>
      </c>
    </row>
    <row r="249" spans="1:9" ht="12.3">
      <c r="A249" s="307">
        <v>41867</v>
      </c>
      <c r="B249" s="309" t="s">
        <v>1922</v>
      </c>
      <c r="C249" s="309">
        <v>4.0999999999999996</v>
      </c>
      <c r="D249" s="309">
        <v>9</v>
      </c>
      <c r="E249" s="309"/>
      <c r="F249" s="310" t="s">
        <v>23</v>
      </c>
      <c r="G249" s="311" t="s">
        <v>23</v>
      </c>
      <c r="H249" s="312" t="s">
        <v>1478</v>
      </c>
      <c r="I249" s="313" t="s">
        <v>23</v>
      </c>
    </row>
    <row r="250" spans="1:9" ht="12.3">
      <c r="A250" s="334" t="s">
        <v>1926</v>
      </c>
      <c r="B250" s="301" t="str">
        <f>HYPERLINK("http://earthquake-report.com/2014/08/18/very-strong-earthquake-iran-iraq-border-region-on-august-18-2014/","Iran, Ilam")</f>
        <v>Iran, Ilam</v>
      </c>
      <c r="C250" s="314" t="s">
        <v>1927</v>
      </c>
      <c r="D250" s="314" t="s">
        <v>1928</v>
      </c>
      <c r="E250" s="314" t="s">
        <v>123</v>
      </c>
      <c r="F250" s="303" t="s">
        <v>23</v>
      </c>
      <c r="G250" s="304">
        <v>462</v>
      </c>
      <c r="H250" s="323">
        <v>5</v>
      </c>
      <c r="I250" s="315" t="s">
        <v>23</v>
      </c>
    </row>
    <row r="251" spans="1:9" ht="12.3">
      <c r="A251" s="307">
        <v>41870</v>
      </c>
      <c r="B251" s="308" t="str">
        <f>HYPERLINK("http://earthquake-report.com/2014/08/19/moderate-earthquake-guthrie-oklahoma-on-august-19-2014/","USA, Oklahoma")</f>
        <v>USA, Oklahoma</v>
      </c>
      <c r="C251" s="309">
        <v>4.2</v>
      </c>
      <c r="D251" s="309">
        <v>4</v>
      </c>
      <c r="E251" s="309" t="s">
        <v>134</v>
      </c>
      <c r="F251" s="310" t="s">
        <v>23</v>
      </c>
      <c r="G251" s="311" t="s">
        <v>23</v>
      </c>
      <c r="H251" s="312" t="s">
        <v>1478</v>
      </c>
      <c r="I251" s="313" t="s">
        <v>23</v>
      </c>
    </row>
    <row r="252" spans="1:9" ht="12.3">
      <c r="A252" s="307">
        <v>41872</v>
      </c>
      <c r="B252" s="301" t="str">
        <f>HYPERLINK("http://earthquake-report.com/2014/08/21/moderate-earthquake-yunnan-china-on-august-21-2014/","China, Yunnan")</f>
        <v>China, Yunnan</v>
      </c>
      <c r="C252" s="309">
        <v>4.2</v>
      </c>
      <c r="D252" s="309">
        <v>12</v>
      </c>
      <c r="E252" s="309"/>
      <c r="F252" s="310" t="s">
        <v>23</v>
      </c>
      <c r="G252" s="311" t="s">
        <v>23</v>
      </c>
      <c r="H252" s="312" t="s">
        <v>1511</v>
      </c>
      <c r="I252" s="313" t="s">
        <v>23</v>
      </c>
    </row>
    <row r="253" spans="1:9" ht="12.3">
      <c r="A253" s="307">
        <v>41872</v>
      </c>
      <c r="B253" s="301" t="str">
        <f>HYPERLINK("http://earthquake-report.com/2014/08/21/moderate-earthquake-kashmir-india-border-region-on-august-21-2014/","India, Himachal Pradesh")</f>
        <v>India, Himachal Pradesh</v>
      </c>
      <c r="C253" s="309">
        <v>5</v>
      </c>
      <c r="D253" s="309"/>
      <c r="E253" s="309"/>
      <c r="F253" s="310" t="s">
        <v>23</v>
      </c>
      <c r="G253" s="311" t="s">
        <v>23</v>
      </c>
      <c r="H253" s="312" t="s">
        <v>1511</v>
      </c>
      <c r="I253" s="313" t="s">
        <v>23</v>
      </c>
    </row>
    <row r="254" spans="1:9" ht="12.3">
      <c r="A254" s="307">
        <v>41872</v>
      </c>
      <c r="B254" s="308" t="str">
        <f>HYPERLINK("http://earthquake-report.com/2014/08/21/moderate-earthquake-lombok-region-indonesia-on-august-21-2014/","OS Indonesia, Nusa Tenggara Barat")</f>
        <v>OS Indonesia, Nusa Tenggara Barat</v>
      </c>
      <c r="C254" s="309">
        <v>4.3</v>
      </c>
      <c r="D254" s="309">
        <v>11</v>
      </c>
      <c r="E254" s="309"/>
      <c r="F254" s="310" t="s">
        <v>23</v>
      </c>
      <c r="G254" s="311" t="s">
        <v>23</v>
      </c>
      <c r="H254" s="312">
        <v>1</v>
      </c>
      <c r="I254" s="313" t="s">
        <v>23</v>
      </c>
    </row>
    <row r="255" spans="1:9" ht="12.3">
      <c r="A255" s="307">
        <v>41872</v>
      </c>
      <c r="B255" s="308" t="str">
        <f>HYPERLINK("http://earthquake-report.com/2014/08/20/earthquakes-in-the-world-on-august-21-2014-m2-9-or-more/","South Africa (Johannesburg Area)")</f>
        <v>South Africa (Johannesburg Area)</v>
      </c>
      <c r="C255" s="309">
        <v>3.8</v>
      </c>
      <c r="D255" s="309"/>
      <c r="E255" s="309"/>
      <c r="F255" s="310" t="s">
        <v>23</v>
      </c>
      <c r="G255" s="311" t="s">
        <v>23</v>
      </c>
      <c r="H255" s="312" t="s">
        <v>1478</v>
      </c>
      <c r="I255" s="313" t="s">
        <v>23</v>
      </c>
    </row>
    <row r="256" spans="1:9" ht="12.3">
      <c r="A256" s="307">
        <v>41873</v>
      </c>
      <c r="B256" s="308" t="str">
        <f>HYPERLINK("http://wp.me/p1bAUO-x1M","OS Greece, Chalkidiki")</f>
        <v>OS Greece, Chalkidiki</v>
      </c>
      <c r="C256" s="309">
        <v>5</v>
      </c>
      <c r="D256" s="309"/>
      <c r="E256" s="309"/>
      <c r="F256" s="310" t="s">
        <v>23</v>
      </c>
      <c r="G256" s="311" t="s">
        <v>23</v>
      </c>
      <c r="H256" s="312">
        <v>1</v>
      </c>
      <c r="I256" s="313" t="s">
        <v>23</v>
      </c>
    </row>
    <row r="257" spans="1:9" ht="12.3">
      <c r="A257" s="307">
        <v>41874</v>
      </c>
      <c r="B257" s="301" t="str">
        <f>HYPERLINK("http://earthquake-report.com/2014/08/23/very-strong-earthquake-near-coast-of-central-chile-on-august-23-2014/","Chile, Valparaiso")</f>
        <v>Chile, Valparaiso</v>
      </c>
      <c r="C257" s="309">
        <v>6.4</v>
      </c>
      <c r="D257" s="309">
        <v>40</v>
      </c>
      <c r="E257" s="309" t="s">
        <v>123</v>
      </c>
      <c r="F257" s="310" t="s">
        <v>23</v>
      </c>
      <c r="G257" s="311">
        <v>1</v>
      </c>
      <c r="H257" s="312">
        <v>2</v>
      </c>
      <c r="I257" s="313" t="s">
        <v>23</v>
      </c>
    </row>
    <row r="258" spans="1:9" ht="12.3">
      <c r="A258" s="300">
        <v>41875</v>
      </c>
      <c r="B258" s="301" t="str">
        <f>HYPERLINK("http://earthquake-report.com/2014/08/24/strong-earthquake-american-canyon-california-on-august-24-2014/","USA, California")</f>
        <v>USA, California</v>
      </c>
      <c r="C258" s="302">
        <v>6</v>
      </c>
      <c r="D258" s="302">
        <v>11</v>
      </c>
      <c r="E258" s="302" t="s">
        <v>687</v>
      </c>
      <c r="F258" s="303">
        <v>1</v>
      </c>
      <c r="G258" s="321">
        <v>208</v>
      </c>
      <c r="H258" s="305">
        <v>3</v>
      </c>
      <c r="I258" s="306" t="s">
        <v>23</v>
      </c>
    </row>
    <row r="259" spans="1:9" ht="12.3">
      <c r="A259" s="307">
        <v>41875</v>
      </c>
      <c r="B259" s="301" t="str">
        <f>HYPERLINK("http://earthquake-report.com/2014/08/24/moderate-earthquake-turkey-on-august-24-2014/","Turkey")</f>
        <v>Turkey</v>
      </c>
      <c r="C259" s="309">
        <v>4.8</v>
      </c>
      <c r="D259" s="309">
        <v>7</v>
      </c>
      <c r="E259" s="309"/>
      <c r="F259" s="310" t="s">
        <v>23</v>
      </c>
      <c r="G259" s="311">
        <v>27</v>
      </c>
      <c r="H259" s="312" t="s">
        <v>1511</v>
      </c>
      <c r="I259" s="313" t="s">
        <v>23</v>
      </c>
    </row>
    <row r="260" spans="1:9" ht="12.3">
      <c r="A260" s="307">
        <v>41875</v>
      </c>
      <c r="B260" s="301" t="str">
        <f>HYPERLINK("http://earthquake-report.com/2014/08/23/earthquakes-in-the-world-on-august-24-2014-m4-5-or-more/","Thailand, Chiang Rai (aftershock)")</f>
        <v>Thailand, Chiang Rai (aftershock)</v>
      </c>
      <c r="C260" s="309">
        <v>4.8</v>
      </c>
      <c r="D260" s="309">
        <v>5</v>
      </c>
      <c r="E260" s="309"/>
      <c r="F260" s="310" t="s">
        <v>23</v>
      </c>
      <c r="G260" s="311" t="s">
        <v>23</v>
      </c>
      <c r="H260" s="312" t="s">
        <v>1511</v>
      </c>
      <c r="I260" s="313" t="s">
        <v>23</v>
      </c>
    </row>
    <row r="261" spans="1:9" ht="12.3">
      <c r="A261" s="307">
        <v>41875</v>
      </c>
      <c r="B261" s="301" t="str">
        <f>HYPERLINK("http://earthquake-report.com/2014/08/24/very-strong-earthquake-coracora-peru-on-august-24-2014/","Peru, Ayacucho")</f>
        <v>Peru, Ayacucho</v>
      </c>
      <c r="C261" s="314">
        <v>6.6</v>
      </c>
      <c r="D261" s="309">
        <v>108</v>
      </c>
      <c r="E261" s="309" t="s">
        <v>365</v>
      </c>
      <c r="F261" s="310" t="s">
        <v>23</v>
      </c>
      <c r="G261" s="311">
        <v>8</v>
      </c>
      <c r="H261" s="312">
        <v>3</v>
      </c>
      <c r="I261" s="313" t="s">
        <v>23</v>
      </c>
    </row>
    <row r="262" spans="1:9" ht="12.3">
      <c r="A262" s="307">
        <v>41876</v>
      </c>
      <c r="B262" s="308" t="str">
        <f>HYPERLINK("http://earthquake-report.com/2014/08/25/very-strong-earthquake-near-coast-of-southern-peru-on-august-25-2014/","Peru, Arequipa")</f>
        <v>Peru, Arequipa</v>
      </c>
      <c r="C262" s="314">
        <v>5.7</v>
      </c>
      <c r="D262" s="309">
        <v>56</v>
      </c>
      <c r="E262" s="309"/>
      <c r="F262" s="310" t="s">
        <v>23</v>
      </c>
      <c r="G262" s="311" t="s">
        <v>23</v>
      </c>
      <c r="H262" s="312" t="s">
        <v>1478</v>
      </c>
      <c r="I262" s="313" t="s">
        <v>23</v>
      </c>
    </row>
    <row r="263" spans="1:9" ht="12.3">
      <c r="A263" s="307">
        <v>41877</v>
      </c>
      <c r="B263" s="308" t="str">
        <f>HYPERLINK("http://earthquake-report.com/2014/08/26/minor-earthquake-san-francisco-bay-area-calif-on-august-26-2014/","USA, California (aftershock)")</f>
        <v>USA, California (aftershock)</v>
      </c>
      <c r="C263" s="314">
        <v>3.9</v>
      </c>
      <c r="D263" s="309">
        <v>12</v>
      </c>
      <c r="E263" s="309" t="s">
        <v>1364</v>
      </c>
      <c r="F263" s="310" t="s">
        <v>23</v>
      </c>
      <c r="G263" s="311" t="s">
        <v>23</v>
      </c>
      <c r="H263" s="312">
        <v>1</v>
      </c>
      <c r="I263" s="313" t="s">
        <v>23</v>
      </c>
    </row>
    <row r="264" spans="1:9" ht="12.3">
      <c r="A264" s="307">
        <v>41879</v>
      </c>
      <c r="B264" s="308" t="str">
        <f>HYPERLINK("http://wp.me/p1bAUO-xfh","Italy, Lombardy")</f>
        <v>Italy, Lombardy</v>
      </c>
      <c r="C264" s="309">
        <v>4</v>
      </c>
      <c r="D264" s="309">
        <v>3</v>
      </c>
      <c r="E264" s="309"/>
      <c r="F264" s="310" t="s">
        <v>23</v>
      </c>
      <c r="G264" s="311" t="s">
        <v>23</v>
      </c>
      <c r="H264" s="312">
        <v>1</v>
      </c>
      <c r="I264" s="313" t="s">
        <v>23</v>
      </c>
    </row>
    <row r="265" spans="1:9" ht="12.3">
      <c r="A265" s="307">
        <v>41882</v>
      </c>
      <c r="B265" s="308" t="str">
        <f>HYPERLINK("http://wp.me/p1bAUO-xlB","Morocco")</f>
        <v>Morocco</v>
      </c>
      <c r="C265" s="309">
        <v>4.5</v>
      </c>
      <c r="D265" s="309"/>
      <c r="E265" s="309"/>
      <c r="F265" s="310" t="s">
        <v>23</v>
      </c>
      <c r="G265" s="311" t="s">
        <v>23</v>
      </c>
      <c r="H265" s="312">
        <v>2</v>
      </c>
      <c r="I265" s="313" t="s">
        <v>23</v>
      </c>
    </row>
    <row r="266" spans="1:9" ht="12.3">
      <c r="A266" s="307">
        <v>41883</v>
      </c>
      <c r="B266" s="308" t="str">
        <f>HYPERLINK("http://earthquake-report.com/2014/08/31/earthquakes-in-the-world-on-september-1-2014-m2-9-or-more/","Netherlands")</f>
        <v>Netherlands</v>
      </c>
      <c r="C266" s="309" t="s">
        <v>1929</v>
      </c>
      <c r="D266" s="309"/>
      <c r="E266" s="309"/>
      <c r="F266" s="310" t="s">
        <v>23</v>
      </c>
      <c r="G266" s="311" t="s">
        <v>23</v>
      </c>
      <c r="H266" s="312" t="s">
        <v>1478</v>
      </c>
      <c r="I266" s="313" t="s">
        <v>23</v>
      </c>
    </row>
    <row r="267" spans="1:9" ht="12.3">
      <c r="A267" s="307">
        <v>41883</v>
      </c>
      <c r="B267" s="308" t="str">
        <f>HYPERLINK("http://earthquake-report.com/2014/09/01/moderate-earthquake-southern-sumatra-indonesia-on-september-1-2014/","Indonesia, Sumatra")</f>
        <v>Indonesia, Sumatra</v>
      </c>
      <c r="C267" s="309">
        <v>4.8</v>
      </c>
      <c r="D267" s="309"/>
      <c r="E267" s="309"/>
      <c r="F267" s="310" t="s">
        <v>23</v>
      </c>
      <c r="G267" s="311" t="s">
        <v>23</v>
      </c>
      <c r="H267" s="312">
        <v>2</v>
      </c>
      <c r="I267" s="313" t="s">
        <v>23</v>
      </c>
    </row>
    <row r="268" spans="1:9" ht="12.3">
      <c r="A268" s="300">
        <v>41886</v>
      </c>
      <c r="B268" s="302" t="s">
        <v>1930</v>
      </c>
      <c r="C268" s="302">
        <v>3.5</v>
      </c>
      <c r="D268" s="302">
        <v>2</v>
      </c>
      <c r="E268" s="302" t="s">
        <v>134</v>
      </c>
      <c r="F268" s="303">
        <v>5</v>
      </c>
      <c r="G268" s="321">
        <v>31</v>
      </c>
      <c r="H268" s="305">
        <v>1</v>
      </c>
      <c r="I268" s="306" t="s">
        <v>23</v>
      </c>
    </row>
    <row r="269" spans="1:9" ht="12.3">
      <c r="A269" s="307">
        <v>41886</v>
      </c>
      <c r="B269" s="301" t="str">
        <f>HYPERLINK("http://wp.me/p1bAUO-XV1","OS Turkey (Alanya / Antalya area)")</f>
        <v>OS Turkey (Alanya / Antalya area)</v>
      </c>
      <c r="C269" s="309">
        <v>5.2</v>
      </c>
      <c r="D269" s="309">
        <v>24</v>
      </c>
      <c r="E269" s="309"/>
      <c r="F269" s="310" t="s">
        <v>23</v>
      </c>
      <c r="G269" s="311">
        <v>1</v>
      </c>
      <c r="H269" s="312" t="s">
        <v>1478</v>
      </c>
      <c r="I269" s="313" t="s">
        <v>23</v>
      </c>
    </row>
    <row r="270" spans="1:9" ht="12.3">
      <c r="A270" s="307">
        <v>41888</v>
      </c>
      <c r="B270" s="301" t="str">
        <f>HYPERLINK("http://earthquake-report.com/2014/09/06/moderate-earthquake-pakistan-on-september-6-2014/","Pakistan")</f>
        <v>Pakistan</v>
      </c>
      <c r="C270" s="309">
        <v>4.5</v>
      </c>
      <c r="D270" s="309"/>
      <c r="E270" s="309"/>
      <c r="F270" s="310" t="s">
        <v>23</v>
      </c>
      <c r="G270" s="311">
        <v>12</v>
      </c>
      <c r="H270" s="312">
        <v>2</v>
      </c>
      <c r="I270" s="313" t="s">
        <v>23</v>
      </c>
    </row>
    <row r="271" spans="1:9" ht="12.3">
      <c r="A271" s="307">
        <v>41888</v>
      </c>
      <c r="B271" s="308" t="str">
        <f>HYPERLINK("http://earthquake-report.com/2014/09/06/moderate-earthquake-southern-xinjiang-china-on-september-6-2014-2/","China, Hebei")</f>
        <v>China, Hebei</v>
      </c>
      <c r="C271" s="309">
        <v>4.3</v>
      </c>
      <c r="D271" s="309"/>
      <c r="E271" s="309"/>
      <c r="F271" s="310" t="s">
        <v>23</v>
      </c>
      <c r="G271" s="311" t="s">
        <v>23</v>
      </c>
      <c r="H271" s="312">
        <v>2</v>
      </c>
      <c r="I271" s="313" t="s">
        <v>23</v>
      </c>
    </row>
    <row r="272" spans="1:9" ht="12.3">
      <c r="A272" s="307">
        <v>41892</v>
      </c>
      <c r="B272" s="301" t="str">
        <f>HYPERLINK("http://earthquake-report.com/2014/09/10/moderate-earthquake-southern-sumatra-indonesia-on-september-10-2014/","Indonesia, Sumatra")</f>
        <v>Indonesia, Sumatra</v>
      </c>
      <c r="C272" s="309">
        <v>5</v>
      </c>
      <c r="D272" s="309">
        <v>10</v>
      </c>
      <c r="E272" s="309" t="s">
        <v>134</v>
      </c>
      <c r="F272" s="310" t="s">
        <v>23</v>
      </c>
      <c r="G272" s="311">
        <v>4</v>
      </c>
      <c r="H272" s="312" t="s">
        <v>1511</v>
      </c>
      <c r="I272" s="313" t="s">
        <v>23</v>
      </c>
    </row>
    <row r="273" spans="1:9" ht="12.3">
      <c r="A273" s="307">
        <v>41894</v>
      </c>
      <c r="B273" s="308" t="str">
        <f>HYPERLINK("http://earthquake-report.com/2014/09/12/moderate-earthquake-guaymate-dominican-republic-on-september-12-2014/","Dominican Republic")</f>
        <v>Dominican Republic</v>
      </c>
      <c r="C273" s="309">
        <v>4.7</v>
      </c>
      <c r="D273" s="309">
        <v>106</v>
      </c>
      <c r="E273" s="309"/>
      <c r="F273" s="310" t="s">
        <v>23</v>
      </c>
      <c r="G273" s="311" t="s">
        <v>23</v>
      </c>
      <c r="H273" s="312">
        <v>1</v>
      </c>
      <c r="I273" s="313" t="s">
        <v>23</v>
      </c>
    </row>
    <row r="274" spans="1:9" ht="12.3">
      <c r="A274" s="307">
        <v>41896</v>
      </c>
      <c r="B274" s="308" t="str">
        <f>HYPERLINK("http://earthquake-report.com/2014/09/14/minor-earthquake-spain-on-september-14-2014/","Spain, Andalusia")</f>
        <v>Spain, Andalusia</v>
      </c>
      <c r="C274" s="309">
        <v>3.5</v>
      </c>
      <c r="D274" s="309">
        <v>2</v>
      </c>
      <c r="E274" s="309" t="s">
        <v>134</v>
      </c>
      <c r="F274" s="310" t="s">
        <v>23</v>
      </c>
      <c r="G274" s="311" t="s">
        <v>23</v>
      </c>
      <c r="H274" s="312">
        <v>1</v>
      </c>
      <c r="I274" s="313" t="s">
        <v>23</v>
      </c>
    </row>
    <row r="275" spans="1:9" ht="12.3">
      <c r="A275" s="307">
        <v>41896</v>
      </c>
      <c r="B275" s="308" t="str">
        <f>HYPERLINK("http://earthquake-report.com/2014/09/14/moderate-earthquake-northern-sumatra-indonesia-on-september-14-2014/","OS Indonesia, Nias")</f>
        <v>OS Indonesia, Nias</v>
      </c>
      <c r="C275" s="314">
        <v>5.6</v>
      </c>
      <c r="D275" s="309">
        <v>14</v>
      </c>
      <c r="E275" s="309" t="s">
        <v>134</v>
      </c>
      <c r="F275" s="310" t="s">
        <v>23</v>
      </c>
      <c r="G275" s="311" t="s">
        <v>23</v>
      </c>
      <c r="H275" s="312">
        <v>2</v>
      </c>
      <c r="I275" s="313" t="s">
        <v>23</v>
      </c>
    </row>
    <row r="276" spans="1:9" ht="12.3">
      <c r="A276" s="307">
        <v>41897</v>
      </c>
      <c r="B276" s="308" t="str">
        <f>HYPERLINK("http://earthquake-report.com/2014/09/15/moderate-earthquake-sweden-on-september-15-2014/","Sweden")</f>
        <v>Sweden</v>
      </c>
      <c r="C276" s="309">
        <v>4.7</v>
      </c>
      <c r="D276" s="309">
        <v>5</v>
      </c>
      <c r="E276" s="309"/>
      <c r="F276" s="310" t="s">
        <v>23</v>
      </c>
      <c r="G276" s="311" t="s">
        <v>23</v>
      </c>
      <c r="H276" s="312">
        <v>1</v>
      </c>
      <c r="I276" s="313" t="s">
        <v>23</v>
      </c>
    </row>
    <row r="277" spans="1:9" ht="12.3">
      <c r="A277" s="307">
        <v>41898</v>
      </c>
      <c r="B277" s="301" t="str">
        <f>HYPERLINK("http://earthquake-report.com/2014/09/16/strong-earthquake-eastern-honshu-japan-on-september-16-2014/","Japan, Honshu (Greater Tokyo area)")</f>
        <v>Japan, Honshu (Greater Tokyo area)</v>
      </c>
      <c r="C277" s="309">
        <v>5.6</v>
      </c>
      <c r="D277" s="309">
        <v>50</v>
      </c>
      <c r="E277" s="309" t="s">
        <v>1503</v>
      </c>
      <c r="F277" s="310" t="s">
        <v>23</v>
      </c>
      <c r="G277" s="311">
        <v>9</v>
      </c>
      <c r="H277" s="312">
        <v>2</v>
      </c>
      <c r="I277" s="313" t="s">
        <v>23</v>
      </c>
    </row>
    <row r="278" spans="1:9" ht="12.3">
      <c r="A278" s="307">
        <v>41899</v>
      </c>
      <c r="B278" s="308" t="str">
        <f>HYPERLINK("http://earthquake-report.com/2014/09/17/very-strong-earthquake-mariana-islands-on-september-17-2014/","OS Guam")</f>
        <v>OS Guam</v>
      </c>
      <c r="C278" s="314">
        <v>6.7</v>
      </c>
      <c r="D278" s="309">
        <v>134</v>
      </c>
      <c r="E278" s="309" t="s">
        <v>35</v>
      </c>
      <c r="F278" s="310" t="s">
        <v>23</v>
      </c>
      <c r="G278" s="311" t="s">
        <v>23</v>
      </c>
      <c r="H278" s="312">
        <v>1</v>
      </c>
      <c r="I278" s="313" t="s">
        <v>23</v>
      </c>
    </row>
    <row r="279" spans="1:9" ht="12.3">
      <c r="A279" s="307">
        <v>41900</v>
      </c>
      <c r="B279" s="301" t="str">
        <f>HYPERLINK("http://earthquake-report.com/2014/09/17/earthquakes-in-the-world-on-september-18-2014-m2-9-or-more/","China, Guizhou")</f>
        <v>China, Guizhou</v>
      </c>
      <c r="C279" s="309" t="s">
        <v>1505</v>
      </c>
      <c r="D279" s="309">
        <v>1</v>
      </c>
      <c r="E279" s="309"/>
      <c r="F279" s="310" t="s">
        <v>23</v>
      </c>
      <c r="G279" s="311" t="s">
        <v>23</v>
      </c>
      <c r="H279" s="312">
        <v>3</v>
      </c>
      <c r="I279" s="313" t="s">
        <v>23</v>
      </c>
    </row>
    <row r="280" spans="1:9" ht="12.3">
      <c r="A280" s="307">
        <v>41900</v>
      </c>
      <c r="B280" s="308" t="str">
        <f>HYPERLINK("http://earthquake-report.com/2014/09/17/earthquakes-in-the-world-on-september-18-2014-m2-9-or-more/","Romania, Galati")</f>
        <v>Romania, Galati</v>
      </c>
      <c r="C280" s="309">
        <v>1.8</v>
      </c>
      <c r="D280" s="309">
        <v>5</v>
      </c>
      <c r="E280" s="309"/>
      <c r="F280" s="310" t="s">
        <v>23</v>
      </c>
      <c r="G280" s="311" t="s">
        <v>23</v>
      </c>
      <c r="H280" s="312">
        <v>2</v>
      </c>
      <c r="I280" s="313" t="s">
        <v>23</v>
      </c>
    </row>
    <row r="281" spans="1:9" ht="12.3">
      <c r="A281" s="307">
        <v>41902</v>
      </c>
      <c r="B281" s="301" t="str">
        <f>HYPERLINK("http://earthquake-report.com/2014/09/20/moderate-earthquake-mindanao-philippines-on-september-20-2014/","Philippines, Mindanao")</f>
        <v>Philippines, Mindanao</v>
      </c>
      <c r="C281" s="309">
        <v>5.2</v>
      </c>
      <c r="D281" s="309">
        <v>3</v>
      </c>
      <c r="E281" s="309"/>
      <c r="F281" s="310" t="s">
        <v>23</v>
      </c>
      <c r="G281" s="311">
        <v>4</v>
      </c>
      <c r="H281" s="312" t="s">
        <v>1508</v>
      </c>
      <c r="I281" s="313" t="s">
        <v>23</v>
      </c>
    </row>
    <row r="282" spans="1:9" ht="12.3">
      <c r="A282" s="307">
        <v>41903</v>
      </c>
      <c r="B282" s="308" t="str">
        <f>HYPERLINK("http://earthquake-report.com/2014/09/20/earthquakes-in-the-world-on-september-21-2014-m2-9-or-more/","China, Zhejiang")</f>
        <v>China, Zhejiang</v>
      </c>
      <c r="C282" s="309" t="s">
        <v>1602</v>
      </c>
      <c r="D282" s="309"/>
      <c r="E282" s="309"/>
      <c r="F282" s="310" t="s">
        <v>23</v>
      </c>
      <c r="G282" s="311" t="s">
        <v>23</v>
      </c>
      <c r="H282" s="312">
        <v>1</v>
      </c>
      <c r="I282" s="313" t="s">
        <v>23</v>
      </c>
    </row>
    <row r="283" spans="1:9" ht="12.3">
      <c r="A283" s="307">
        <v>41904</v>
      </c>
      <c r="B283" s="301" t="str">
        <f>HYPERLINK("http://earthquake-report.com/2014/09/22/moderate-earthquake-bali-region-indonesia-on-september-22-2014/","OS Indonesia, Nusa Tenggara Barat")</f>
        <v>OS Indonesia, Nusa Tenggara Barat</v>
      </c>
      <c r="C283" s="309">
        <v>4.8</v>
      </c>
      <c r="D283" s="309">
        <v>195</v>
      </c>
      <c r="E283" s="309"/>
      <c r="F283" s="310" t="s">
        <v>23</v>
      </c>
      <c r="G283" s="311" t="s">
        <v>23</v>
      </c>
      <c r="H283" s="312">
        <v>1</v>
      </c>
      <c r="I283" s="313" t="s">
        <v>23</v>
      </c>
    </row>
    <row r="284" spans="1:9" ht="12.3">
      <c r="A284" s="307">
        <v>41905</v>
      </c>
      <c r="B284" s="301" t="str">
        <f>HYPERLINK("http://earthquake-report.com/2014/09/22/earthquakes-in-the-world-on-september-23-2014-m2-9-or-more/","China, Zhejiang")</f>
        <v>China, Zhejiang</v>
      </c>
      <c r="C284" s="309" t="s">
        <v>1875</v>
      </c>
      <c r="D284" s="309">
        <v>5</v>
      </c>
      <c r="E284" s="309"/>
      <c r="F284" s="310" t="s">
        <v>23</v>
      </c>
      <c r="G284" s="311" t="s">
        <v>23</v>
      </c>
      <c r="H284" s="312">
        <v>3</v>
      </c>
      <c r="I284" s="313" t="s">
        <v>23</v>
      </c>
    </row>
    <row r="285" spans="1:9" ht="12.3">
      <c r="A285" s="307">
        <v>41907</v>
      </c>
      <c r="B285" s="308" t="str">
        <f>HYPERLINK("http://earthquake-report.com/2014/09/25/very-strong-earthquake-willow-alaska-on-september-25-2014/","USA, Alaska")</f>
        <v>USA, Alaska</v>
      </c>
      <c r="C285" s="309">
        <v>6.2</v>
      </c>
      <c r="D285" s="309">
        <v>103</v>
      </c>
      <c r="E285" s="309" t="s">
        <v>35</v>
      </c>
      <c r="F285" s="310" t="s">
        <v>23</v>
      </c>
      <c r="G285" s="311" t="s">
        <v>23</v>
      </c>
      <c r="H285" s="312" t="s">
        <v>1478</v>
      </c>
      <c r="I285" s="313" t="s">
        <v>23</v>
      </c>
    </row>
    <row r="286" spans="1:9" ht="12.3">
      <c r="A286" s="300">
        <v>41910</v>
      </c>
      <c r="B286" s="301" t="str">
        <f>HYPERLINK("http://earthquake-report.com/2014/09/28/moderate-earthquake-misca-paruro-peru-on-september-28-2014/","Peru, Cuzco")</f>
        <v>Peru, Cuzco</v>
      </c>
      <c r="C286" s="302">
        <v>5.0999999999999996</v>
      </c>
      <c r="D286" s="302">
        <v>8</v>
      </c>
      <c r="E286" s="302" t="s">
        <v>35</v>
      </c>
      <c r="F286" s="303">
        <v>8</v>
      </c>
      <c r="G286" s="321">
        <v>4</v>
      </c>
      <c r="H286" s="305" t="s">
        <v>1508</v>
      </c>
      <c r="I286" s="306" t="s">
        <v>23</v>
      </c>
    </row>
    <row r="287" spans="1:9" ht="12.3">
      <c r="A287" s="307">
        <v>41910</v>
      </c>
      <c r="B287" s="308" t="str">
        <f>HYPERLINK("http://earthquake-report.com/2014/09/27/moderate-earthquake-hindu-kush-region-afghanistan-on-september-27-2014/","Afghanistan, Takhar")</f>
        <v>Afghanistan, Takhar</v>
      </c>
      <c r="C287" s="314">
        <v>5.5</v>
      </c>
      <c r="D287" s="309"/>
      <c r="E287" s="309"/>
      <c r="F287" s="310" t="s">
        <v>23</v>
      </c>
      <c r="G287" s="325"/>
      <c r="H287" s="312">
        <v>1</v>
      </c>
      <c r="I287" s="315" t="s">
        <v>23</v>
      </c>
    </row>
    <row r="288" spans="1:9" ht="12.3">
      <c r="A288" s="307">
        <v>41911</v>
      </c>
      <c r="B288" s="308" t="str">
        <f>HYPERLINK("http://earthquake-report.com/2014/09/29/moderate-earthquake-eastern-caucasus-on-september-29-2014/","Azerbaijan")</f>
        <v>Azerbaijan</v>
      </c>
      <c r="C288" s="314">
        <v>5.5</v>
      </c>
      <c r="D288" s="309">
        <v>12</v>
      </c>
      <c r="E288" s="309"/>
      <c r="F288" s="310" t="s">
        <v>23</v>
      </c>
      <c r="G288" s="311" t="s">
        <v>23</v>
      </c>
      <c r="H288" s="312">
        <v>2</v>
      </c>
      <c r="I288" s="315" t="s">
        <v>23</v>
      </c>
    </row>
    <row r="289" spans="1:9" ht="12.3">
      <c r="A289" s="307">
        <v>41912</v>
      </c>
      <c r="B289" s="308" t="str">
        <f>HYPERLINK("http://earthquake-report.com/2014/09/30/minor-earthquake-the-netherlands-on-september-30-2014/","Netherlands")</f>
        <v>Netherlands</v>
      </c>
      <c r="C289" s="309" t="s">
        <v>1931</v>
      </c>
      <c r="D289" s="309">
        <v>3</v>
      </c>
      <c r="E289" s="309"/>
      <c r="F289" s="310" t="s">
        <v>23</v>
      </c>
      <c r="G289" s="311" t="s">
        <v>23</v>
      </c>
      <c r="H289" s="312">
        <v>2</v>
      </c>
      <c r="I289" s="315" t="s">
        <v>23</v>
      </c>
    </row>
    <row r="290" spans="1:9" ht="12.3">
      <c r="A290" s="307">
        <v>41913</v>
      </c>
      <c r="B290" s="301" t="str">
        <f>HYPERLINK("http://wp.me/p1bAUO-y6c","China, Sichuan")</f>
        <v>China, Sichuan</v>
      </c>
      <c r="C290" s="309">
        <v>5</v>
      </c>
      <c r="D290" s="309">
        <v>15</v>
      </c>
      <c r="E290" s="309"/>
      <c r="F290" s="310" t="s">
        <v>23</v>
      </c>
      <c r="G290" s="311">
        <v>1</v>
      </c>
      <c r="H290" s="312" t="s">
        <v>1508</v>
      </c>
      <c r="I290" s="315" t="s">
        <v>23</v>
      </c>
    </row>
    <row r="291" spans="1:9" ht="12.3">
      <c r="A291" s="307">
        <v>41913</v>
      </c>
      <c r="B291" s="301" t="str">
        <f>HYPERLINK("http://earthquake-report.com/2014/10/01/moderate-earthquake-chulumani-bolivia-on-october-1-2014/","Bolivia")</f>
        <v>Bolivia</v>
      </c>
      <c r="C291" s="309">
        <v>4.9000000000000004</v>
      </c>
      <c r="D291" s="309">
        <v>8</v>
      </c>
      <c r="E291" s="309"/>
      <c r="F291" s="310" t="s">
        <v>23</v>
      </c>
      <c r="G291" s="311" t="s">
        <v>23</v>
      </c>
      <c r="H291" s="312">
        <v>3</v>
      </c>
      <c r="I291" s="315" t="s">
        <v>23</v>
      </c>
    </row>
    <row r="292" spans="1:9" ht="12.3">
      <c r="A292" s="307">
        <v>41914</v>
      </c>
      <c r="B292" s="308" t="str">
        <f>HYPERLINK("http://wp.me/p1bAUO-y8g","China, Qinghai")</f>
        <v>China, Qinghai</v>
      </c>
      <c r="C292" s="309">
        <v>5.0999999999999996</v>
      </c>
      <c r="D292" s="309">
        <v>16</v>
      </c>
      <c r="E292" s="309"/>
      <c r="F292" s="310" t="s">
        <v>23</v>
      </c>
      <c r="G292" s="311" t="s">
        <v>23</v>
      </c>
      <c r="H292" s="312">
        <v>2</v>
      </c>
      <c r="I292" s="315" t="s">
        <v>23</v>
      </c>
    </row>
    <row r="293" spans="1:9" ht="12.3">
      <c r="A293" s="307">
        <v>41914</v>
      </c>
      <c r="B293" s="308" t="str">
        <f>HYPERLINK("http://wp.me/p1bAUO-y8r","USA, Kansas")</f>
        <v>USA, Kansas</v>
      </c>
      <c r="C293" s="309" t="s">
        <v>1652</v>
      </c>
      <c r="D293" s="309">
        <v>5</v>
      </c>
      <c r="E293" s="309"/>
      <c r="F293" s="310" t="s">
        <v>23</v>
      </c>
      <c r="G293" s="311" t="s">
        <v>23</v>
      </c>
      <c r="H293" s="312" t="s">
        <v>1478</v>
      </c>
      <c r="I293" s="315" t="s">
        <v>23</v>
      </c>
    </row>
    <row r="294" spans="1:9" ht="12.3">
      <c r="A294" s="307">
        <v>41915</v>
      </c>
      <c r="B294" s="301" t="str">
        <f>HYPERLINK("http://wp.me/p1bAUO-y9v","Philippines, Panay")</f>
        <v>Philippines, Panay</v>
      </c>
      <c r="C294" s="314">
        <v>5.7</v>
      </c>
      <c r="D294" s="309">
        <v>16</v>
      </c>
      <c r="E294" s="309" t="s">
        <v>35</v>
      </c>
      <c r="F294" s="310" t="s">
        <v>23</v>
      </c>
      <c r="G294" s="311">
        <v>1</v>
      </c>
      <c r="H294" s="312">
        <v>2</v>
      </c>
      <c r="I294" s="315" t="s">
        <v>23</v>
      </c>
    </row>
    <row r="295" spans="1:9" ht="12.3">
      <c r="A295" s="307">
        <v>41918</v>
      </c>
      <c r="B295" s="301" t="str">
        <f>HYPERLINK("http://earthquake-report.com/2014/10/06/earthquakes-in-the-world-on-october-06-2014-m2-9-or-more-2/","Bolivia")</f>
        <v>Bolivia</v>
      </c>
      <c r="C295" s="309">
        <v>3.3</v>
      </c>
      <c r="D295" s="309"/>
      <c r="E295" s="309"/>
      <c r="F295" s="310" t="s">
        <v>23</v>
      </c>
      <c r="G295" s="311" t="s">
        <v>23</v>
      </c>
      <c r="H295" s="312" t="s">
        <v>1511</v>
      </c>
      <c r="I295" s="315" t="s">
        <v>23</v>
      </c>
    </row>
    <row r="296" spans="1:9" ht="12.3">
      <c r="A296" s="300">
        <v>41919</v>
      </c>
      <c r="B296" s="301" t="str">
        <f>HYPERLINK("http://wp.me/p1bAUO-yf3","China, Yunnan")</f>
        <v>China, Yunnan</v>
      </c>
      <c r="C296" s="302">
        <v>6.6</v>
      </c>
      <c r="D296" s="302">
        <v>5</v>
      </c>
      <c r="E296" s="302" t="s">
        <v>363</v>
      </c>
      <c r="F296" s="303">
        <v>1</v>
      </c>
      <c r="G296" s="321">
        <v>324</v>
      </c>
      <c r="H296" s="305">
        <v>5</v>
      </c>
      <c r="I296" s="306" t="s">
        <v>23</v>
      </c>
    </row>
    <row r="297" spans="1:9" ht="12.3">
      <c r="A297" s="307">
        <v>41920</v>
      </c>
      <c r="B297" s="301" t="str">
        <f>HYPERLINK("http://earthquake-report.com/2014/10/08/moderate-earthquake-georgia-sakartvelo-on-october-8-2014/","Georgia")</f>
        <v>Georgia</v>
      </c>
      <c r="C297" s="309">
        <v>3.7</v>
      </c>
      <c r="D297" s="314"/>
      <c r="E297" s="314"/>
      <c r="F297" s="303" t="s">
        <v>23</v>
      </c>
      <c r="G297" s="304">
        <v>10</v>
      </c>
      <c r="H297" s="312">
        <v>1</v>
      </c>
      <c r="I297" s="315" t="s">
        <v>23</v>
      </c>
    </row>
    <row r="298" spans="1:9" ht="12.3">
      <c r="A298" s="307">
        <v>41921</v>
      </c>
      <c r="B298" s="308" t="str">
        <f>HYPERLINK("http://earthquake-report.com/2014/10/09/massive-earthquake-southern-east-pacific-rise-on-october-9-2014/","OS Chile, Easter Island")</f>
        <v>OS Chile, Easter Island</v>
      </c>
      <c r="C298" s="314">
        <v>7.1</v>
      </c>
      <c r="D298" s="309">
        <v>16</v>
      </c>
      <c r="E298" s="309"/>
      <c r="F298" s="310" t="s">
        <v>23</v>
      </c>
      <c r="G298" s="311" t="s">
        <v>23</v>
      </c>
      <c r="H298" s="312" t="s">
        <v>23</v>
      </c>
      <c r="I298" s="313" t="s">
        <v>1932</v>
      </c>
    </row>
    <row r="299" spans="1:9" ht="12.3">
      <c r="A299" s="307">
        <v>41921</v>
      </c>
      <c r="B299" s="308" t="str">
        <f>HYPERLINK("http://earthquake-report.com/2014/10/09/earthquakes-in-the-world-on-october-09-2014-m2-9-or-more-2/","China, Guizhou")</f>
        <v>China, Guizhou</v>
      </c>
      <c r="C299" s="309">
        <v>3.1</v>
      </c>
      <c r="D299" s="309">
        <v>4</v>
      </c>
      <c r="E299" s="309"/>
      <c r="F299" s="310" t="s">
        <v>23</v>
      </c>
      <c r="G299" s="311" t="s">
        <v>23</v>
      </c>
      <c r="H299" s="312" t="s">
        <v>1478</v>
      </c>
      <c r="I299" s="313" t="s">
        <v>23</v>
      </c>
    </row>
    <row r="300" spans="1:9" ht="12.3">
      <c r="A300" s="307">
        <v>41921</v>
      </c>
      <c r="B300" s="308" t="str">
        <f>HYPERLINK("http://wp.me/p1bAUO-yiO","Iran, North Chorasan")</f>
        <v>Iran, North Chorasan</v>
      </c>
      <c r="C300" s="309">
        <v>4.3</v>
      </c>
      <c r="D300" s="309">
        <v>10</v>
      </c>
      <c r="E300" s="309"/>
      <c r="F300" s="310" t="s">
        <v>23</v>
      </c>
      <c r="G300" s="311" t="s">
        <v>23</v>
      </c>
      <c r="H300" s="312">
        <v>2</v>
      </c>
      <c r="I300" s="313" t="s">
        <v>23</v>
      </c>
    </row>
    <row r="301" spans="1:9" ht="12.3">
      <c r="A301" s="307">
        <v>41922</v>
      </c>
      <c r="B301" s="308" t="str">
        <f>HYPERLINK("http://wp.me/p1bAUO-yk0","USA, Oklahoma")</f>
        <v>USA, Oklahoma</v>
      </c>
      <c r="C301" s="309" t="s">
        <v>1652</v>
      </c>
      <c r="D301" s="309">
        <v>4</v>
      </c>
      <c r="E301" s="309" t="s">
        <v>134</v>
      </c>
      <c r="F301" s="310" t="s">
        <v>23</v>
      </c>
      <c r="G301" s="311" t="s">
        <v>23</v>
      </c>
      <c r="H301" s="312" t="s">
        <v>1478</v>
      </c>
      <c r="I301" s="313" t="s">
        <v>23</v>
      </c>
    </row>
    <row r="302" spans="1:9" ht="12.3">
      <c r="A302" s="307">
        <v>41923</v>
      </c>
      <c r="B302" s="308" t="str">
        <f>HYPERLINK("http://earthquake-report.com/2014/10/11/moderate-earthquake-weiyuan-china-on-october-11-2014/","China, Yunnan (aftershock)")</f>
        <v>China, Yunnan (aftershock)</v>
      </c>
      <c r="C302" s="309">
        <v>4.7</v>
      </c>
      <c r="D302" s="309">
        <v>8</v>
      </c>
      <c r="E302" s="309"/>
      <c r="F302" s="310" t="s">
        <v>23</v>
      </c>
      <c r="G302" s="311" t="s">
        <v>23</v>
      </c>
      <c r="H302" s="312">
        <v>1</v>
      </c>
      <c r="I302" s="313" t="s">
        <v>23</v>
      </c>
    </row>
    <row r="303" spans="1:9" ht="12.3">
      <c r="A303" s="307">
        <v>41923</v>
      </c>
      <c r="B303" s="308" t="str">
        <f>HYPERLINK("http://earthquake-report.com/2014/10/11/moderate-earthquake-jalapa-mexico-on-october-11-2014/","Mexico, Oaxaca")</f>
        <v>Mexico, Oaxaca</v>
      </c>
      <c r="C303" s="314">
        <v>5.6</v>
      </c>
      <c r="D303" s="309"/>
      <c r="E303" s="309"/>
      <c r="F303" s="310" t="s">
        <v>23</v>
      </c>
      <c r="G303" s="311" t="s">
        <v>23</v>
      </c>
      <c r="H303" s="312">
        <v>2</v>
      </c>
      <c r="I303" s="313" t="s">
        <v>23</v>
      </c>
    </row>
    <row r="304" spans="1:9" ht="12.3">
      <c r="A304" s="307">
        <v>41925</v>
      </c>
      <c r="B304" s="308" t="str">
        <f>HYPERLINK("http://earthquake-report.com/2014/10/13/strong-earthquake-southern-peru-on-october-13-2014/","Peru, Ayacucho")</f>
        <v>Peru, Ayacucho</v>
      </c>
      <c r="C304" s="314">
        <v>5.6</v>
      </c>
      <c r="D304" s="309">
        <v>108</v>
      </c>
      <c r="E304" s="309"/>
      <c r="F304" s="310" t="s">
        <v>23</v>
      </c>
      <c r="G304" s="311" t="s">
        <v>23</v>
      </c>
      <c r="H304" s="312" t="s">
        <v>1478</v>
      </c>
      <c r="I304" s="313" t="s">
        <v>23</v>
      </c>
    </row>
    <row r="305" spans="1:9" ht="12.3">
      <c r="A305" s="300">
        <v>41926</v>
      </c>
      <c r="B305" s="301" t="str">
        <f>HYPERLINK("http://earthquake-report.com/2014/10/14/massive-earthquake-near-coast-of-nicaragua-on-october-14-2014/","OS El Salvador")</f>
        <v>OS El Salvador</v>
      </c>
      <c r="C305" s="302">
        <v>7.3</v>
      </c>
      <c r="D305" s="302">
        <v>24</v>
      </c>
      <c r="E305" s="302" t="s">
        <v>123</v>
      </c>
      <c r="F305" s="303">
        <v>4</v>
      </c>
      <c r="G305" s="321">
        <v>1</v>
      </c>
      <c r="H305" s="305">
        <v>3</v>
      </c>
      <c r="I305" s="306"/>
    </row>
    <row r="306" spans="1:9" ht="12.3">
      <c r="A306" s="307">
        <v>41927</v>
      </c>
      <c r="B306" s="301" t="str">
        <f>HYPERLINK("http://earthquake-report.com/2014/10/15/strong-earthquake-iran-iraq-border-region-on-october-15-2014/","Iran, Ilam")</f>
        <v>Iran, Ilam</v>
      </c>
      <c r="C306" s="314">
        <v>5.6</v>
      </c>
      <c r="D306" s="309">
        <v>10</v>
      </c>
      <c r="E306" s="309" t="s">
        <v>123</v>
      </c>
      <c r="F306" s="310" t="s">
        <v>23</v>
      </c>
      <c r="G306" s="311">
        <v>19</v>
      </c>
      <c r="H306" s="312">
        <v>3</v>
      </c>
      <c r="I306" s="313" t="s">
        <v>23</v>
      </c>
    </row>
    <row r="307" spans="1:9" ht="12.3">
      <c r="A307" s="307">
        <v>41932</v>
      </c>
      <c r="B307" s="308" t="str">
        <f>HYPERLINK("http://earthquake-report.com/2014/10/20/minor-earthquake-eastern-turkey-on-october-20-2014/","Turkey")</f>
        <v>Turkey</v>
      </c>
      <c r="C307" s="309">
        <v>3.7</v>
      </c>
      <c r="D307" s="309"/>
      <c r="E307" s="309"/>
      <c r="F307" s="310" t="s">
        <v>23</v>
      </c>
      <c r="G307" s="311" t="s">
        <v>23</v>
      </c>
      <c r="H307" s="312" t="s">
        <v>1478</v>
      </c>
      <c r="I307" s="313" t="s">
        <v>23</v>
      </c>
    </row>
    <row r="308" spans="1:9" ht="12.3">
      <c r="A308" s="307">
        <v>41932</v>
      </c>
      <c r="B308" s="301" t="str">
        <f>HYPERLINK("http://earthquake-report.com/2014/10/20/strong-earthquake-colombia-ecuador-border-region-on-october-20-2014/","Ecuador")</f>
        <v>Ecuador</v>
      </c>
      <c r="C308" s="314">
        <v>5.9</v>
      </c>
      <c r="D308" s="309">
        <v>5</v>
      </c>
      <c r="E308" s="309" t="s">
        <v>123</v>
      </c>
      <c r="F308" s="310" t="s">
        <v>23</v>
      </c>
      <c r="G308" s="311" t="s">
        <v>23</v>
      </c>
      <c r="H308" s="312">
        <v>3</v>
      </c>
      <c r="I308" s="313" t="s">
        <v>23</v>
      </c>
    </row>
    <row r="309" spans="1:9" ht="12.3">
      <c r="A309" s="307">
        <v>41933</v>
      </c>
      <c r="B309" s="308" t="str">
        <f>HYPERLINK("http://earthquake-report.com/2014/10/21/moderate-earthquake-southern-iran-on-october-21-2014/","Iran, Kerman")</f>
        <v>Iran, Kerman</v>
      </c>
      <c r="C309" s="309">
        <v>4.5</v>
      </c>
      <c r="D309" s="309">
        <v>18</v>
      </c>
      <c r="E309" s="309"/>
      <c r="F309" s="310" t="s">
        <v>23</v>
      </c>
      <c r="G309" s="311" t="s">
        <v>23</v>
      </c>
      <c r="H309" s="312">
        <v>2</v>
      </c>
      <c r="I309" s="313" t="s">
        <v>23</v>
      </c>
    </row>
    <row r="310" spans="1:9" ht="12.3">
      <c r="A310" s="307">
        <v>41934</v>
      </c>
      <c r="B310" s="308" t="str">
        <f>HYPERLINK("http://earthquake-report.com/2014/10/22/earthquakes-in-the-world-on-october-22-2014-m2-9-or-more/","India, Madhya Pradesh")</f>
        <v>India, Madhya Pradesh</v>
      </c>
      <c r="C310" s="309">
        <v>2.8</v>
      </c>
      <c r="D310" s="309">
        <v>5</v>
      </c>
      <c r="E310" s="309"/>
      <c r="F310" s="310" t="s">
        <v>23</v>
      </c>
      <c r="G310" s="311" t="s">
        <v>23</v>
      </c>
      <c r="H310" s="312">
        <v>1</v>
      </c>
      <c r="I310" s="313" t="s">
        <v>23</v>
      </c>
    </row>
    <row r="311" spans="1:9" ht="12.3">
      <c r="A311" s="307">
        <v>41934</v>
      </c>
      <c r="B311" s="308" t="str">
        <f>HYPERLINK("http://earthquake-report.com/2014/10/22/moderate-earthquake-baracatan-philippines-on-october-22-2014/","Philippines, Mindanao")</f>
        <v>Philippines, Mindanao</v>
      </c>
      <c r="C311" s="309">
        <v>4.8</v>
      </c>
      <c r="D311" s="309">
        <v>6</v>
      </c>
      <c r="E311" s="309" t="s">
        <v>134</v>
      </c>
      <c r="F311" s="310" t="s">
        <v>23</v>
      </c>
      <c r="G311" s="311" t="s">
        <v>23</v>
      </c>
      <c r="H311" s="312">
        <v>2</v>
      </c>
      <c r="I311" s="313" t="s">
        <v>23</v>
      </c>
    </row>
    <row r="312" spans="1:9" ht="12.3">
      <c r="A312" s="307">
        <v>41934</v>
      </c>
      <c r="B312" s="308" t="str">
        <f>HYPERLINK("http://earthquake-report.com/2014/10/22/earthquakes-in-the-world-on-october-22-2014-m2-9-or-more/","China, Anhui")</f>
        <v>China, Anhui</v>
      </c>
      <c r="C312" s="309">
        <v>3.1</v>
      </c>
      <c r="D312" s="309">
        <v>5</v>
      </c>
      <c r="E312" s="309"/>
      <c r="F312" s="310" t="s">
        <v>23</v>
      </c>
      <c r="G312" s="311" t="s">
        <v>23</v>
      </c>
      <c r="H312" s="312" t="s">
        <v>1478</v>
      </c>
      <c r="I312" s="313" t="s">
        <v>23</v>
      </c>
    </row>
    <row r="313" spans="1:9" ht="12.3">
      <c r="A313" s="307">
        <v>41935</v>
      </c>
      <c r="B313" s="308" t="str">
        <f>HYPERLINK("http://earthquake-report.com/2014/10/23/earthquakes-in-the-world-on-october-23-2014-m2-9-or-more/","Mexico, Baja California Sur")</f>
        <v>Mexico, Baja California Sur</v>
      </c>
      <c r="C313" s="309">
        <v>2.5</v>
      </c>
      <c r="D313" s="309"/>
      <c r="E313" s="309"/>
      <c r="F313" s="310" t="s">
        <v>23</v>
      </c>
      <c r="G313" s="311" t="s">
        <v>23</v>
      </c>
      <c r="H313" s="312">
        <v>1</v>
      </c>
      <c r="I313" s="313" t="s">
        <v>23</v>
      </c>
    </row>
    <row r="314" spans="1:9" ht="12.3">
      <c r="A314" s="307">
        <v>41936</v>
      </c>
      <c r="B314" s="308" t="str">
        <f>HYPERLINK("http://earthquake-report.com/2014/10/25/strong-earthquake-greece-on-october-24-2014/","Greece")</f>
        <v>Greece</v>
      </c>
      <c r="C314" s="309">
        <v>5.2</v>
      </c>
      <c r="D314" s="309">
        <v>16</v>
      </c>
      <c r="E314" s="309"/>
      <c r="F314" s="310" t="s">
        <v>23</v>
      </c>
      <c r="G314" s="311" t="s">
        <v>23</v>
      </c>
      <c r="H314" s="312" t="s">
        <v>1478</v>
      </c>
      <c r="I314" s="313" t="s">
        <v>23</v>
      </c>
    </row>
    <row r="315" spans="1:9" ht="12.3">
      <c r="A315" s="307">
        <v>41937</v>
      </c>
      <c r="B315" s="308" t="str">
        <f>HYPERLINK("http://earthquake-report.com/2014/10/25/earthquakes-in-the-world-on-october-25-2014-m2-9-or-more/","China, Zhejiang")</f>
        <v>China, Zhejiang</v>
      </c>
      <c r="C315" s="309" t="s">
        <v>1472</v>
      </c>
      <c r="D315" s="309">
        <v>7</v>
      </c>
      <c r="E315" s="309"/>
      <c r="F315" s="310" t="s">
        <v>23</v>
      </c>
      <c r="G315" s="311" t="s">
        <v>23</v>
      </c>
      <c r="H315" s="312">
        <v>2</v>
      </c>
      <c r="I315" s="313" t="s">
        <v>23</v>
      </c>
    </row>
    <row r="316" spans="1:9" ht="12.3">
      <c r="A316" s="307">
        <v>41937</v>
      </c>
      <c r="B316" s="308" t="str">
        <f>HYPERLINK("http://earthquake-report.com/2014/10/25/moderate-earthquake-gansu-china-on-october-25-2014/","China, Gansu")</f>
        <v>China, Gansu</v>
      </c>
      <c r="C316" s="309">
        <v>4.5</v>
      </c>
      <c r="D316" s="309">
        <v>15</v>
      </c>
      <c r="E316" s="309"/>
      <c r="F316" s="310" t="s">
        <v>23</v>
      </c>
      <c r="G316" s="311" t="s">
        <v>23</v>
      </c>
      <c r="H316" s="312" t="s">
        <v>1478</v>
      </c>
      <c r="I316" s="313" t="s">
        <v>23</v>
      </c>
    </row>
    <row r="317" spans="1:9" ht="12.3">
      <c r="A317" s="307">
        <v>41937</v>
      </c>
      <c r="B317" s="308" t="str">
        <f>HYPERLINK("http://earthquake-report.com/2014/10/25/earthquakes-in-the-world-on-october-25-2014-m2-9-or-more/","China, Anhui")</f>
        <v>China, Anhui</v>
      </c>
      <c r="C317" s="309">
        <v>3.4</v>
      </c>
      <c r="D317" s="309">
        <v>18</v>
      </c>
      <c r="E317" s="309"/>
      <c r="F317" s="310" t="s">
        <v>23</v>
      </c>
      <c r="G317" s="311" t="s">
        <v>23</v>
      </c>
      <c r="H317" s="312">
        <v>1</v>
      </c>
      <c r="I317" s="313" t="s">
        <v>23</v>
      </c>
    </row>
    <row r="318" spans="1:9" ht="12.3">
      <c r="A318" s="307">
        <v>41938</v>
      </c>
      <c r="B318" s="308" t="str">
        <f>HYPERLINK("http://earthquake-report.com/2014/10/26/earthquakes-in-the-world-on-october-26-2014-m2-9-or-more/","Afghanistan (Kabul area)")</f>
        <v>Afghanistan (Kabul area)</v>
      </c>
      <c r="C318" s="309">
        <v>3.7</v>
      </c>
      <c r="D318" s="309"/>
      <c r="E318" s="309"/>
      <c r="F318" s="310" t="s">
        <v>23</v>
      </c>
      <c r="G318" s="311" t="s">
        <v>23</v>
      </c>
      <c r="H318" s="312">
        <v>1</v>
      </c>
      <c r="I318" s="313" t="s">
        <v>23</v>
      </c>
    </row>
    <row r="319" spans="1:9" ht="12.3">
      <c r="A319" s="307">
        <v>41938</v>
      </c>
      <c r="B319" s="308" t="str">
        <f>HYPERLINK("http://earthquake-report.com/2014/10/26/earthquakes-in-the-world-on-october-26-2014-m2-9-or-more/","India, Goa")</f>
        <v>India, Goa</v>
      </c>
      <c r="C319" s="309">
        <v>2</v>
      </c>
      <c r="D319" s="309"/>
      <c r="E319" s="309"/>
      <c r="F319" s="310" t="s">
        <v>23</v>
      </c>
      <c r="G319" s="311" t="s">
        <v>23</v>
      </c>
      <c r="H319" s="312" t="s">
        <v>1478</v>
      </c>
      <c r="I319" s="313" t="s">
        <v>23</v>
      </c>
    </row>
    <row r="320" spans="1:9" ht="12.3">
      <c r="A320" s="307">
        <v>41938</v>
      </c>
      <c r="B320" s="308" t="str">
        <f>HYPERLINK("http://earthquake-report.com/2014/10/26/moderate-earthquake-central-peru-on-october-26-2014/","Peru, Pasco")</f>
        <v>Peru, Pasco</v>
      </c>
      <c r="C320" s="314">
        <v>6</v>
      </c>
      <c r="D320" s="309">
        <v>131</v>
      </c>
      <c r="E320" s="309" t="s">
        <v>684</v>
      </c>
      <c r="F320" s="310" t="s">
        <v>23</v>
      </c>
      <c r="G320" s="311" t="s">
        <v>23</v>
      </c>
      <c r="H320" s="312">
        <v>1</v>
      </c>
      <c r="I320" s="313" t="s">
        <v>23</v>
      </c>
    </row>
    <row r="321" spans="1:9" ht="12.3">
      <c r="A321" s="307">
        <v>41940</v>
      </c>
      <c r="B321" s="308" t="str">
        <f>HYPERLINK("http://earthquake-report.com/2014/10/26/earthquakes-in-the-world-on-october-26-2014-m2-9-or-more/","Indonesia, Sumatra")</f>
        <v>Indonesia, Sumatra</v>
      </c>
      <c r="C321" s="309">
        <v>3</v>
      </c>
      <c r="D321" s="309">
        <v>4</v>
      </c>
      <c r="E321" s="309"/>
      <c r="F321" s="310" t="s">
        <v>23</v>
      </c>
      <c r="G321" s="311" t="s">
        <v>23</v>
      </c>
      <c r="H321" s="312" t="s">
        <v>1478</v>
      </c>
      <c r="I321" s="313" t="s">
        <v>23</v>
      </c>
    </row>
    <row r="322" spans="1:9" ht="12.3">
      <c r="A322" s="307">
        <v>41940</v>
      </c>
      <c r="B322" s="308" t="str">
        <f>HYPERLINK("http://earthquake-report.com/2014/10/28/moderate-earthquake-southern-iran-on-october-28-2014/","Iran, Fars")</f>
        <v>Iran, Fars</v>
      </c>
      <c r="C322" s="309">
        <v>4.9000000000000004</v>
      </c>
      <c r="D322" s="309">
        <v>7</v>
      </c>
      <c r="E322" s="309"/>
      <c r="F322" s="310" t="s">
        <v>23</v>
      </c>
      <c r="G322" s="311" t="s">
        <v>23</v>
      </c>
      <c r="H322" s="312" t="s">
        <v>1478</v>
      </c>
      <c r="I322" s="313" t="s">
        <v>23</v>
      </c>
    </row>
    <row r="323" spans="1:9" ht="12.3">
      <c r="A323" s="307">
        <v>41941</v>
      </c>
      <c r="B323" s="308" t="str">
        <f>HYPERLINK("http://earthquake-report.com/2014/10/29/minor-earthquake-germany-on-october-29-2014/","Germany, Hessen")</f>
        <v>Germany, Hessen</v>
      </c>
      <c r="C323" s="309">
        <v>3.5</v>
      </c>
      <c r="D323" s="309">
        <v>4</v>
      </c>
      <c r="E323" s="309"/>
      <c r="F323" s="310" t="s">
        <v>23</v>
      </c>
      <c r="G323" s="311" t="s">
        <v>23</v>
      </c>
      <c r="H323" s="312">
        <v>1</v>
      </c>
      <c r="I323" s="313" t="s">
        <v>23</v>
      </c>
    </row>
    <row r="324" spans="1:9" ht="12.3">
      <c r="A324" s="307">
        <v>41942</v>
      </c>
      <c r="B324" s="308" t="str">
        <f>HYPERLINK("http://earthquake-report.com/2014/10/30/strong-earthquake-southern-peru-on-october-30-2014/","Peru, Arequipa")</f>
        <v>Peru, Arequipa</v>
      </c>
      <c r="C324" s="309">
        <v>5.3</v>
      </c>
      <c r="D324" s="309">
        <v>20</v>
      </c>
      <c r="E324" s="309"/>
      <c r="F324" s="310" t="s">
        <v>23</v>
      </c>
      <c r="G324" s="311" t="s">
        <v>23</v>
      </c>
      <c r="H324" s="312">
        <v>1</v>
      </c>
      <c r="I324" s="313" t="s">
        <v>23</v>
      </c>
    </row>
    <row r="325" spans="1:9" ht="12.3">
      <c r="A325" s="307">
        <v>41943</v>
      </c>
      <c r="B325" s="301" t="str">
        <f>HYPERLINK("http://earthquake-report.com/2014/10/31/moderate-earthquake-uganda-on-october-31-2014/","Uganda")</f>
        <v>Uganda</v>
      </c>
      <c r="C325" s="309">
        <v>4.7</v>
      </c>
      <c r="D325" s="309"/>
      <c r="E325" s="309"/>
      <c r="F325" s="310"/>
      <c r="G325" s="311">
        <v>12</v>
      </c>
      <c r="H325" s="312">
        <v>3</v>
      </c>
      <c r="I325" s="313" t="s">
        <v>23</v>
      </c>
    </row>
    <row r="326" spans="1:9" ht="12.3">
      <c r="A326" s="307">
        <v>41943</v>
      </c>
      <c r="B326" s="308" t="str">
        <f>HYPERLINK("http://earthquake-report.com/2014/10/31/moderate-earthquake-romania-on-october-31-2014/","Romania")</f>
        <v>Romania</v>
      </c>
      <c r="C326" s="309">
        <v>4.8</v>
      </c>
      <c r="D326" s="309">
        <v>4</v>
      </c>
      <c r="E326" s="309"/>
      <c r="F326" s="310" t="s">
        <v>23</v>
      </c>
      <c r="G326" s="311" t="s">
        <v>23</v>
      </c>
      <c r="H326" s="312">
        <v>1</v>
      </c>
      <c r="I326" s="313" t="s">
        <v>23</v>
      </c>
    </row>
    <row r="327" spans="1:9" ht="12.3">
      <c r="A327" s="307">
        <v>41944</v>
      </c>
      <c r="B327" s="308" t="str">
        <f>HYPERLINK("http://earthquake-report.com/2014/11/03/moderate-earthquake-san-antonio-costa-rica-on-november-1-2014/","Costa Rica (San Jose area)")</f>
        <v>Costa Rica (San Jose area)</v>
      </c>
      <c r="C327" s="309">
        <v>4.3</v>
      </c>
      <c r="D327" s="309"/>
      <c r="E327" s="309" t="s">
        <v>134</v>
      </c>
      <c r="F327" s="310" t="s">
        <v>23</v>
      </c>
      <c r="G327" s="311" t="s">
        <v>23</v>
      </c>
      <c r="H327" s="312">
        <v>1</v>
      </c>
      <c r="I327" s="313" t="s">
        <v>23</v>
      </c>
    </row>
    <row r="328" spans="1:9" ht="12.3">
      <c r="A328" s="307">
        <v>41948</v>
      </c>
      <c r="B328" s="308" t="str">
        <f>HYPERLINK("http://earthquake-report.com/2014/11/05/earthquakes-in-the-world-on-november-05-2014-m2-9-or-more/","Netherlands")</f>
        <v>Netherlands</v>
      </c>
      <c r="C328" s="309" t="s">
        <v>1933</v>
      </c>
      <c r="D328" s="309"/>
      <c r="E328" s="309"/>
      <c r="F328" s="310" t="s">
        <v>23</v>
      </c>
      <c r="G328" s="311" t="s">
        <v>23</v>
      </c>
      <c r="H328" s="312" t="s">
        <v>1478</v>
      </c>
      <c r="I328" s="313" t="s">
        <v>23</v>
      </c>
    </row>
    <row r="329" spans="1:9" ht="12.3">
      <c r="A329" s="307">
        <v>41949</v>
      </c>
      <c r="B329" s="308" t="str">
        <f>HYPERLINK("http://earthquake-report.com/2014/11/06/minor-earthquake-iran-iraq-border-region-on-november-6-2014-3/","Iraq")</f>
        <v>Iraq</v>
      </c>
      <c r="C329" s="309">
        <v>3.6</v>
      </c>
      <c r="D329" s="309">
        <v>10</v>
      </c>
      <c r="E329" s="309"/>
      <c r="F329" s="310" t="s">
        <v>23</v>
      </c>
      <c r="G329" s="311" t="s">
        <v>23</v>
      </c>
      <c r="H329" s="312" t="s">
        <v>1478</v>
      </c>
      <c r="I329" s="313" t="s">
        <v>23</v>
      </c>
    </row>
    <row r="330" spans="1:9" ht="12.3">
      <c r="A330" s="307">
        <v>41950</v>
      </c>
      <c r="B330" s="301" t="str">
        <f>HYPERLINK("http://earthquake-report.com/2014/11/07/moderate-earthquake-greece-on-november-7-2014-2/","Greece")</f>
        <v>Greece</v>
      </c>
      <c r="C330" s="309">
        <v>4.8</v>
      </c>
      <c r="D330" s="309">
        <v>9</v>
      </c>
      <c r="E330" s="309"/>
      <c r="F330" s="310" t="s">
        <v>23</v>
      </c>
      <c r="G330" s="311" t="s">
        <v>23</v>
      </c>
      <c r="H330" s="312" t="s">
        <v>1511</v>
      </c>
      <c r="I330" s="313" t="s">
        <v>23</v>
      </c>
    </row>
    <row r="331" spans="1:9" ht="12.3">
      <c r="A331" s="307">
        <v>41951</v>
      </c>
      <c r="B331" s="309" t="s">
        <v>1934</v>
      </c>
      <c r="C331" s="309">
        <v>5.0999999999999996</v>
      </c>
      <c r="D331" s="309">
        <v>11</v>
      </c>
      <c r="E331" s="309"/>
      <c r="F331" s="310" t="s">
        <v>23</v>
      </c>
      <c r="G331" s="311" t="s">
        <v>23</v>
      </c>
      <c r="H331" s="312">
        <v>2</v>
      </c>
      <c r="I331" s="313" t="s">
        <v>23</v>
      </c>
    </row>
    <row r="332" spans="1:9" ht="12.3">
      <c r="A332" s="307">
        <v>41952</v>
      </c>
      <c r="B332" s="301" t="str">
        <f>HYPERLINK("http://earthquake-report.com/2014/11/09/moderate-earthquake-northern-peru-on-november-9-2014-2/","Peru, Amazon")</f>
        <v>Peru, Amazon</v>
      </c>
      <c r="C332" s="309">
        <v>4.9000000000000004</v>
      </c>
      <c r="D332" s="309">
        <v>16</v>
      </c>
      <c r="E332" s="309"/>
      <c r="F332" s="310" t="s">
        <v>23</v>
      </c>
      <c r="G332" s="311" t="s">
        <v>23</v>
      </c>
      <c r="H332" s="312">
        <v>3</v>
      </c>
      <c r="I332" s="313" t="s">
        <v>23</v>
      </c>
    </row>
    <row r="333" spans="1:9" ht="12.3">
      <c r="A333" s="307">
        <v>41953</v>
      </c>
      <c r="B333" s="301" t="str">
        <f>HYPERLINK("http://wp.me/p1bAUO-yUH","Iran, Hormozgan")</f>
        <v>Iran, Hormozgan</v>
      </c>
      <c r="C333" s="309">
        <v>5.4</v>
      </c>
      <c r="D333" s="309">
        <v>12</v>
      </c>
      <c r="E333" s="309"/>
      <c r="F333" s="310" t="s">
        <v>23</v>
      </c>
      <c r="G333" s="311" t="s">
        <v>23</v>
      </c>
      <c r="H333" s="312" t="s">
        <v>1508</v>
      </c>
      <c r="I333" s="313" t="s">
        <v>23</v>
      </c>
    </row>
    <row r="334" spans="1:9" ht="12.3">
      <c r="A334" s="307">
        <v>41955</v>
      </c>
      <c r="B334" s="308" t="str">
        <f>HYPERLINK("http://earthquake-report.com/2014/11/12/strong-earthquake-kansas-on-november-12-2014/","USA, Kansas")</f>
        <v>USA, Kansas</v>
      </c>
      <c r="C334" s="309">
        <v>4.8</v>
      </c>
      <c r="D334" s="309">
        <v>3</v>
      </c>
      <c r="E334" s="309" t="s">
        <v>35</v>
      </c>
      <c r="F334" s="310" t="s">
        <v>23</v>
      </c>
      <c r="G334" s="311" t="s">
        <v>23</v>
      </c>
      <c r="H334" s="312">
        <v>2</v>
      </c>
      <c r="I334" s="313" t="s">
        <v>23</v>
      </c>
    </row>
    <row r="335" spans="1:9" ht="12.3">
      <c r="A335" s="307">
        <v>41957</v>
      </c>
      <c r="B335" s="301" t="str">
        <f>HYPERLINK("http://earthquake-report.com/2014/11/14/strong-earthquake-lake-issyk-kul-region-on-november-14-2014/","Kyrgyzstan")</f>
        <v>Kyrgyzstan</v>
      </c>
      <c r="C335" s="314">
        <v>5.6</v>
      </c>
      <c r="D335" s="309"/>
      <c r="E335" s="309" t="s">
        <v>123</v>
      </c>
      <c r="F335" s="310" t="s">
        <v>23</v>
      </c>
      <c r="G335" s="311" t="s">
        <v>23</v>
      </c>
      <c r="H335" s="312" t="s">
        <v>1511</v>
      </c>
      <c r="I335" s="313" t="s">
        <v>23</v>
      </c>
    </row>
    <row r="336" spans="1:9" ht="12.3">
      <c r="A336" s="300">
        <v>41957</v>
      </c>
      <c r="B336" s="301" t="str">
        <f>HYPERLINK("http://wp.me/p1bAUO-yZU","Czech Republic")</f>
        <v>Czech Republic</v>
      </c>
      <c r="C336" s="302" t="s">
        <v>1608</v>
      </c>
      <c r="D336" s="302">
        <v>1</v>
      </c>
      <c r="E336" s="302"/>
      <c r="F336" s="303" t="s">
        <v>1935</v>
      </c>
      <c r="G336" s="321" t="s">
        <v>1891</v>
      </c>
      <c r="H336" s="305">
        <v>1</v>
      </c>
      <c r="I336" s="306" t="s">
        <v>23</v>
      </c>
    </row>
    <row r="337" spans="1:9" ht="12.3">
      <c r="A337" s="307">
        <v>41957</v>
      </c>
      <c r="B337" s="301" t="str">
        <f>HYPERLINK("http://earthquake-report.com/2014/11/14/moderate-earthquake-gansu-china-on-november-14-2014/","China, Gansu")</f>
        <v>China, Gansu</v>
      </c>
      <c r="C337" s="309">
        <v>4.7</v>
      </c>
      <c r="D337" s="309">
        <v>10</v>
      </c>
      <c r="E337" s="309"/>
      <c r="F337" s="310" t="s">
        <v>23</v>
      </c>
      <c r="G337" s="311" t="s">
        <v>23</v>
      </c>
      <c r="H337" s="312" t="s">
        <v>1511</v>
      </c>
      <c r="I337" s="313" t="s">
        <v>23</v>
      </c>
    </row>
    <row r="338" spans="1:9" ht="12.3">
      <c r="A338" s="307">
        <v>41958</v>
      </c>
      <c r="B338" s="308" t="str">
        <f>HYPERLINK("http://earthquake-report.com/2014/11/15/moderate-earthquake-near-coast-of-peru-on-november-15-2014/","OS Peru, Lima")</f>
        <v>OS Peru, Lima</v>
      </c>
      <c r="C338" s="314">
        <v>5.8</v>
      </c>
      <c r="D338" s="309">
        <v>35</v>
      </c>
      <c r="E338" s="309" t="s">
        <v>134</v>
      </c>
      <c r="F338" s="310" t="s">
        <v>23</v>
      </c>
      <c r="G338" s="311" t="s">
        <v>23</v>
      </c>
      <c r="H338" s="312">
        <v>1</v>
      </c>
      <c r="I338" s="313" t="s">
        <v>23</v>
      </c>
    </row>
    <row r="339" spans="1:9" ht="12.3">
      <c r="A339" s="307">
        <v>41958</v>
      </c>
      <c r="B339" s="301" t="str">
        <f>HYPERLINK("http://wp.me/p1bAUO-z13","OS Indonesia, Sulawesi")</f>
        <v>OS Indonesia, Sulawesi</v>
      </c>
      <c r="C339" s="314">
        <v>7.3</v>
      </c>
      <c r="D339" s="309">
        <v>48</v>
      </c>
      <c r="E339" s="309" t="s">
        <v>134</v>
      </c>
      <c r="F339" s="310" t="s">
        <v>23</v>
      </c>
      <c r="G339" s="311">
        <v>9</v>
      </c>
      <c r="H339" s="312" t="s">
        <v>1511</v>
      </c>
      <c r="I339" s="313" t="s">
        <v>638</v>
      </c>
    </row>
    <row r="340" spans="1:9" ht="12.3">
      <c r="A340" s="307">
        <v>41958</v>
      </c>
      <c r="B340" s="301" t="str">
        <f>HYPERLINK("http://earthquake-report.com/2014/11/15/very-strong-earthquake-southern-molucca-sea-on-november-15-2014/","OS Indonesia, Sulawesi")</f>
        <v>OS Indonesia, Sulawesi</v>
      </c>
      <c r="C340" s="314">
        <v>6.3</v>
      </c>
      <c r="D340" s="309">
        <v>59</v>
      </c>
      <c r="E340" s="309" t="s">
        <v>134</v>
      </c>
      <c r="F340" s="310" t="s">
        <v>23</v>
      </c>
      <c r="G340" s="311" t="s">
        <v>23</v>
      </c>
      <c r="H340" s="312">
        <v>3</v>
      </c>
      <c r="I340" s="313" t="s">
        <v>23</v>
      </c>
    </row>
    <row r="341" spans="1:9" ht="12.3">
      <c r="A341" s="307">
        <v>41958</v>
      </c>
      <c r="B341" s="309" t="s">
        <v>1936</v>
      </c>
      <c r="C341" s="309" t="s">
        <v>1772</v>
      </c>
      <c r="D341" s="309">
        <v>1</v>
      </c>
      <c r="E341" s="309" t="s">
        <v>134</v>
      </c>
      <c r="F341" s="310" t="s">
        <v>23</v>
      </c>
      <c r="G341" s="311" t="s">
        <v>23</v>
      </c>
      <c r="H341" s="312">
        <v>1</v>
      </c>
      <c r="I341" s="313" t="s">
        <v>23</v>
      </c>
    </row>
    <row r="342" spans="1:9" ht="12.3">
      <c r="A342" s="307">
        <v>41959</v>
      </c>
      <c r="B342" s="308" t="str">
        <f>HYPERLINK("http://wp.me/p1bAUO-z1T","Brazil, Ceará")</f>
        <v>Brazil, Ceará</v>
      </c>
      <c r="C342" s="309">
        <v>4.2</v>
      </c>
      <c r="D342" s="309"/>
      <c r="E342" s="309"/>
      <c r="F342" s="310" t="s">
        <v>23</v>
      </c>
      <c r="G342" s="311" t="s">
        <v>23</v>
      </c>
      <c r="H342" s="312">
        <v>2</v>
      </c>
      <c r="I342" s="313" t="s">
        <v>23</v>
      </c>
    </row>
    <row r="343" spans="1:9" ht="12.3">
      <c r="A343" s="300">
        <v>41960</v>
      </c>
      <c r="B343" s="301" t="str">
        <f>HYPERLINK("http://earthquake-report.com/2014/11/17/strong-earthquake-myanmar-on-november-17-2014/","Myanmar")</f>
        <v>Myanmar</v>
      </c>
      <c r="C343" s="302">
        <v>5.4</v>
      </c>
      <c r="D343" s="302">
        <v>72</v>
      </c>
      <c r="E343" s="302"/>
      <c r="F343" s="303">
        <v>1</v>
      </c>
      <c r="G343" s="321" t="s">
        <v>23</v>
      </c>
      <c r="H343" s="305">
        <v>1</v>
      </c>
      <c r="I343" s="306" t="s">
        <v>23</v>
      </c>
    </row>
    <row r="344" spans="1:9" ht="12.3">
      <c r="A344" s="307">
        <v>41960</v>
      </c>
      <c r="B344" s="308" t="str">
        <f>HYPERLINK("http://wp.me/p1bAUO-z6n","Greece")</f>
        <v>Greece</v>
      </c>
      <c r="C344" s="309">
        <v>5.2</v>
      </c>
      <c r="D344" s="309">
        <v>12</v>
      </c>
      <c r="E344" s="309"/>
      <c r="F344" s="310" t="s">
        <v>23</v>
      </c>
      <c r="G344" s="311" t="s">
        <v>23</v>
      </c>
      <c r="H344" s="312">
        <v>2</v>
      </c>
      <c r="I344" s="313" t="s">
        <v>23</v>
      </c>
    </row>
    <row r="345" spans="1:9" ht="12.3">
      <c r="A345" s="307">
        <v>41964</v>
      </c>
      <c r="B345" s="308" t="str">
        <f>HYPERLINK("http://earthquake-report.com/2014/11/21/very-strong-earthquake-northern-molucca-sea-on-november-21-2014/","OS Indonesia, Sulawesi")</f>
        <v>OS Indonesia, Sulawesi</v>
      </c>
      <c r="C345" s="314">
        <v>6.7</v>
      </c>
      <c r="D345" s="309"/>
      <c r="E345" s="309" t="s">
        <v>134</v>
      </c>
      <c r="F345" s="310" t="s">
        <v>23</v>
      </c>
      <c r="G345" s="311" t="s">
        <v>23</v>
      </c>
      <c r="H345" s="312">
        <v>1</v>
      </c>
      <c r="I345" s="313" t="s">
        <v>23</v>
      </c>
    </row>
    <row r="346" spans="1:9" ht="12.3">
      <c r="A346" s="300">
        <v>41965</v>
      </c>
      <c r="B346" s="301" t="str">
        <f>HYPERLINK("http://earthquake-report.com/2014/11/22/very-strong-earthquake-sichuan-china-on-november-22-2014/","China, Sichuan")</f>
        <v>China, Sichuan</v>
      </c>
      <c r="C346" s="302">
        <v>6.3</v>
      </c>
      <c r="D346" s="302">
        <v>18</v>
      </c>
      <c r="E346" s="302" t="s">
        <v>363</v>
      </c>
      <c r="F346" s="303">
        <v>5</v>
      </c>
      <c r="G346" s="321">
        <v>80</v>
      </c>
      <c r="H346" s="305">
        <v>4</v>
      </c>
      <c r="I346" s="306" t="s">
        <v>23</v>
      </c>
    </row>
    <row r="347" spans="1:9" ht="12.3">
      <c r="A347" s="307">
        <v>41965</v>
      </c>
      <c r="B347" s="301" t="str">
        <f>HYPERLINK("http://earthquake-report.com/2014/11/22/very-strong-earthquake-eastern-honshu-japan-on-november-22-2014/","Japan, Honshu")</f>
        <v>Japan, Honshu</v>
      </c>
      <c r="C347" s="314">
        <v>6.8</v>
      </c>
      <c r="D347" s="309">
        <v>5</v>
      </c>
      <c r="E347" s="309" t="s">
        <v>454</v>
      </c>
      <c r="F347" s="310" t="s">
        <v>23</v>
      </c>
      <c r="G347" s="311">
        <v>46</v>
      </c>
      <c r="H347" s="312" t="s">
        <v>1508</v>
      </c>
      <c r="I347" s="313" t="s">
        <v>23</v>
      </c>
    </row>
    <row r="348" spans="1:9" ht="12.3">
      <c r="A348" s="307">
        <v>41965</v>
      </c>
      <c r="B348" s="301" t="str">
        <f>HYPERLINK("http://earthquake-report.com/2014/11/22/strong-earthquake-romania-on-november-22-2014/","Romania")</f>
        <v>Romania</v>
      </c>
      <c r="C348" s="314">
        <v>5.7</v>
      </c>
      <c r="D348" s="309">
        <v>39</v>
      </c>
      <c r="E348" s="309" t="s">
        <v>365</v>
      </c>
      <c r="F348" s="310" t="s">
        <v>23</v>
      </c>
      <c r="G348" s="311">
        <v>14</v>
      </c>
      <c r="H348" s="312" t="s">
        <v>1511</v>
      </c>
      <c r="I348" s="313" t="s">
        <v>23</v>
      </c>
    </row>
    <row r="349" spans="1:9" ht="12.3">
      <c r="A349" s="307">
        <v>41966</v>
      </c>
      <c r="B349" s="308" t="str">
        <f>HYPERLINK("http://earthquake-report.com/2014/11/23/minor-earthquake-northern-texas-on-november-23-2014/","USA, Texas (Dallas Area)")</f>
        <v>USA, Texas (Dallas Area)</v>
      </c>
      <c r="C349" s="309">
        <v>3.3</v>
      </c>
      <c r="D349" s="309">
        <v>2</v>
      </c>
      <c r="E349" s="309" t="s">
        <v>134</v>
      </c>
      <c r="F349" s="310" t="s">
        <v>23</v>
      </c>
      <c r="G349" s="311" t="s">
        <v>23</v>
      </c>
      <c r="H349" s="312">
        <v>1</v>
      </c>
      <c r="I349" s="313" t="s">
        <v>23</v>
      </c>
    </row>
    <row r="350" spans="1:9" ht="12.3">
      <c r="A350" s="320" t="s">
        <v>1937</v>
      </c>
      <c r="B350" s="308" t="str">
        <f>HYPERLINK("http://earthquake-report.com/2014/12/08/fogo-volcano-activity-report-lava-flow-speed-increases-downhill/","Cape Verde (Fogo Volcano)")</f>
        <v>Cape Verde (Fogo Volcano)</v>
      </c>
      <c r="C350" s="309"/>
      <c r="D350" s="309"/>
      <c r="E350" s="309"/>
      <c r="F350" s="310" t="s">
        <v>23</v>
      </c>
      <c r="G350" s="311" t="s">
        <v>23</v>
      </c>
      <c r="H350" s="312">
        <v>2</v>
      </c>
      <c r="I350" s="313" t="s">
        <v>23</v>
      </c>
    </row>
    <row r="351" spans="1:9" ht="12.3">
      <c r="A351" s="307">
        <v>41968</v>
      </c>
      <c r="B351" s="301" t="str">
        <f>HYPERLINK("http://wp.me/p1bAUO-zm4","China, Sichuan (aftershock)")</f>
        <v>China, Sichuan (aftershock)</v>
      </c>
      <c r="C351" s="314">
        <v>5.8</v>
      </c>
      <c r="D351" s="309">
        <v>16</v>
      </c>
      <c r="E351" s="309" t="s">
        <v>363</v>
      </c>
      <c r="F351" s="310" t="s">
        <v>23</v>
      </c>
      <c r="G351" s="311">
        <v>12</v>
      </c>
      <c r="H351" s="312" t="s">
        <v>1508</v>
      </c>
      <c r="I351" s="313" t="s">
        <v>23</v>
      </c>
    </row>
    <row r="352" spans="1:9" ht="12.3">
      <c r="A352" s="307">
        <v>42333</v>
      </c>
      <c r="B352" s="308" t="str">
        <f>HYPERLINK("http://earthquake-report.com/2014/11/25/moderate-earthquake-san-andres-colombia-on-november-25-2014/","Colombia, Santander")</f>
        <v>Colombia, Santander</v>
      </c>
      <c r="C352" s="309">
        <v>5.0999999999999996</v>
      </c>
      <c r="D352" s="309">
        <v>143</v>
      </c>
      <c r="E352" s="309" t="s">
        <v>134</v>
      </c>
      <c r="F352" s="310" t="s">
        <v>23</v>
      </c>
      <c r="G352" s="311" t="s">
        <v>23</v>
      </c>
      <c r="H352" s="312">
        <v>2</v>
      </c>
      <c r="I352" s="313" t="s">
        <v>23</v>
      </c>
    </row>
    <row r="353" spans="1:9" ht="12.3">
      <c r="A353" s="300">
        <v>41968</v>
      </c>
      <c r="B353" s="301" t="str">
        <f>HYPERLINK("http://wp.me/p1bAUO-zlT","China, Liaoning")</f>
        <v>China, Liaoning</v>
      </c>
      <c r="C353" s="302">
        <v>1.6</v>
      </c>
      <c r="D353" s="302"/>
      <c r="E353" s="302"/>
      <c r="F353" s="303">
        <v>26</v>
      </c>
      <c r="G353" s="321">
        <v>50</v>
      </c>
      <c r="H353" s="305">
        <v>1</v>
      </c>
      <c r="I353" s="306" t="s">
        <v>23</v>
      </c>
    </row>
    <row r="354" spans="1:9" ht="12.3">
      <c r="A354" s="307">
        <v>41973</v>
      </c>
      <c r="B354" s="308" t="str">
        <f>HYPERLINK("http://earthquake-report.com/2014/11/30/moderate-earthquake-medford-oklahoma-on-november-30-2014/","USA, Oklahoma")</f>
        <v>USA, Oklahoma</v>
      </c>
      <c r="C354" s="309">
        <v>3.8</v>
      </c>
      <c r="D354" s="309"/>
      <c r="E354" s="309"/>
      <c r="F354" s="310" t="s">
        <v>23</v>
      </c>
      <c r="G354" s="311" t="s">
        <v>23</v>
      </c>
      <c r="H354" s="312" t="s">
        <v>1478</v>
      </c>
      <c r="I354" s="313" t="s">
        <v>23</v>
      </c>
    </row>
    <row r="355" spans="1:9" ht="12.3">
      <c r="A355" s="307">
        <v>41973</v>
      </c>
      <c r="B355" s="308" t="str">
        <f>HYPERLINK("http://earthquake-report.com/2014/11/30/moderate-earthquake-poland-on-november-30-2014/","Poland")</f>
        <v>Poland</v>
      </c>
      <c r="C355" s="309" t="s">
        <v>1472</v>
      </c>
      <c r="D355" s="309"/>
      <c r="E355" s="309"/>
      <c r="F355" s="310" t="s">
        <v>23</v>
      </c>
      <c r="G355" s="311" t="s">
        <v>23</v>
      </c>
      <c r="H355" s="312">
        <v>2</v>
      </c>
      <c r="I355" s="313" t="s">
        <v>23</v>
      </c>
    </row>
    <row r="356" spans="1:9" ht="12.3">
      <c r="A356" s="307">
        <v>41978</v>
      </c>
      <c r="B356" s="301" t="str">
        <f>HYPERLINK("http://wp.me/p1bAUO-zBb","China, Yunnan (aftershock)")</f>
        <v>China, Yunnan (aftershock)</v>
      </c>
      <c r="C356" s="314">
        <v>5.8</v>
      </c>
      <c r="D356" s="309">
        <v>9</v>
      </c>
      <c r="E356" s="309"/>
      <c r="F356" s="310" t="s">
        <v>23</v>
      </c>
      <c r="G356" s="311">
        <v>7</v>
      </c>
      <c r="H356" s="312">
        <v>4</v>
      </c>
      <c r="I356" s="313" t="s">
        <v>23</v>
      </c>
    </row>
    <row r="357" spans="1:9" ht="12.3">
      <c r="A357" s="307">
        <v>41979</v>
      </c>
      <c r="B357" s="308" t="str">
        <f>HYPERLINK("http://earthquake-report.com/2014/12/06/moderate-earthquake-plomarion-greece-on-december-6-2014/","OS Greece, Lesbos")</f>
        <v>OS Greece, Lesbos</v>
      </c>
      <c r="C357" s="309">
        <v>5.0999999999999996</v>
      </c>
      <c r="D357" s="309">
        <v>22</v>
      </c>
      <c r="E357" s="309"/>
      <c r="F357" s="310" t="s">
        <v>23</v>
      </c>
      <c r="G357" s="311" t="s">
        <v>23</v>
      </c>
      <c r="H357" s="312" t="s">
        <v>1478</v>
      </c>
      <c r="I357" s="313" t="s">
        <v>23</v>
      </c>
    </row>
    <row r="358" spans="1:9" ht="12.3">
      <c r="A358" s="300">
        <v>41979</v>
      </c>
      <c r="B358" s="301" t="str">
        <f>HYPERLINK("http://wp.me/p1bAUO-zBb","China, Yunnan (aftershock)")</f>
        <v>China, Yunnan (aftershock)</v>
      </c>
      <c r="C358" s="302">
        <v>5.9</v>
      </c>
      <c r="D358" s="302">
        <v>10</v>
      </c>
      <c r="E358" s="302"/>
      <c r="F358" s="303">
        <v>1</v>
      </c>
      <c r="G358" s="321">
        <v>15</v>
      </c>
      <c r="H358" s="305">
        <v>4</v>
      </c>
      <c r="I358" s="306" t="s">
        <v>23</v>
      </c>
    </row>
    <row r="359" spans="1:9" ht="12.3">
      <c r="A359" s="307">
        <v>41979</v>
      </c>
      <c r="B359" s="308" t="str">
        <f>HYPERLINK("http://earthquake-report.com/2014/12/06/very-strong-earthquake-south-of-panama-on-december-6-2014/","OS Panama")</f>
        <v>OS Panama</v>
      </c>
      <c r="C359" s="314">
        <v>5.8</v>
      </c>
      <c r="D359" s="309"/>
      <c r="E359" s="309" t="s">
        <v>35</v>
      </c>
      <c r="F359" s="310" t="s">
        <v>23</v>
      </c>
      <c r="G359" s="311" t="s">
        <v>23</v>
      </c>
      <c r="H359" s="312" t="s">
        <v>1478</v>
      </c>
      <c r="I359" s="313" t="s">
        <v>23</v>
      </c>
    </row>
    <row r="360" spans="1:9" ht="12.3">
      <c r="A360" s="335">
        <v>41980</v>
      </c>
      <c r="B360" s="336" t="str">
        <f>HYPERLINK("http://wp.me/p1bAUO-zE6","OS Guatemala")</f>
        <v>OS Guatemala</v>
      </c>
      <c r="C360" s="275">
        <v>5.6</v>
      </c>
      <c r="D360" s="268">
        <v>18</v>
      </c>
      <c r="E360" s="282"/>
      <c r="F360" s="337">
        <v>1</v>
      </c>
      <c r="G360" s="338" t="s">
        <v>23</v>
      </c>
      <c r="H360" s="339">
        <v>2</v>
      </c>
      <c r="I360" s="340" t="s">
        <v>23</v>
      </c>
    </row>
    <row r="361" spans="1:9" ht="12.3">
      <c r="A361" s="341"/>
      <c r="B361" s="342"/>
      <c r="C361" s="282">
        <v>5.6</v>
      </c>
      <c r="D361" s="282">
        <v>32</v>
      </c>
      <c r="E361" s="282"/>
      <c r="F361" s="342"/>
      <c r="G361" s="342"/>
      <c r="H361" s="342"/>
      <c r="I361" s="340" t="s">
        <v>23</v>
      </c>
    </row>
    <row r="362" spans="1:9" ht="12.3">
      <c r="A362" s="343">
        <v>41981</v>
      </c>
      <c r="B362" s="344" t="str">
        <f>HYPERLINK("http://earthquake-report.com/2014/12/06/very-strong-earthquake-south-of-panama-on-december-6-2014/","OS Panama")</f>
        <v>OS Panama</v>
      </c>
      <c r="C362" s="296">
        <v>6.4</v>
      </c>
      <c r="D362" s="345"/>
      <c r="E362" s="345"/>
      <c r="F362" s="293" t="s">
        <v>23</v>
      </c>
      <c r="G362" s="294" t="s">
        <v>23</v>
      </c>
      <c r="H362" s="346">
        <v>2</v>
      </c>
      <c r="I362" s="347" t="s">
        <v>23</v>
      </c>
    </row>
    <row r="363" spans="1:9" ht="12.3">
      <c r="A363" s="343">
        <v>41985</v>
      </c>
      <c r="B363" s="344" t="str">
        <f>HYPERLINK("http://earthquake-report.com/2014/12/12/moderate-earthquake-northern-and-central-iran-on-december-12-2014/","Iran, Kohgiluyeh and Boyer Ahmad")</f>
        <v>Iran, Kohgiluyeh and Boyer Ahmad</v>
      </c>
      <c r="C363" s="345">
        <v>5.2</v>
      </c>
      <c r="D363" s="345">
        <v>10</v>
      </c>
      <c r="E363" s="345"/>
      <c r="F363" s="293" t="s">
        <v>23</v>
      </c>
      <c r="G363" s="294"/>
      <c r="H363" s="346" t="s">
        <v>1478</v>
      </c>
      <c r="I363" s="347" t="s">
        <v>23</v>
      </c>
    </row>
    <row r="364" spans="1:9" ht="12.3">
      <c r="A364" s="343">
        <v>41987</v>
      </c>
      <c r="B364" s="344" t="str">
        <f>HYPERLINK("http://earthquake-report.com/2014/12/14/moderate-earthquake-colombia-on-december-14-2014/","Colombia, Cundinamarca")</f>
        <v>Colombia, Cundinamarca</v>
      </c>
      <c r="C364" s="345">
        <v>5</v>
      </c>
      <c r="D364" s="345">
        <v>140</v>
      </c>
      <c r="E364" s="345" t="s">
        <v>134</v>
      </c>
      <c r="F364" s="293" t="s">
        <v>23</v>
      </c>
      <c r="G364" s="294" t="s">
        <v>23</v>
      </c>
      <c r="H364" s="346">
        <v>1</v>
      </c>
      <c r="I364" s="347" t="s">
        <v>23</v>
      </c>
    </row>
    <row r="365" spans="1:9" ht="12.3">
      <c r="A365" s="343">
        <v>41989</v>
      </c>
      <c r="B365" s="345" t="s">
        <v>1938</v>
      </c>
      <c r="C365" s="345">
        <v>4.5999999999999996</v>
      </c>
      <c r="D365" s="345">
        <v>20</v>
      </c>
      <c r="E365" s="345"/>
      <c r="F365" s="293" t="s">
        <v>23</v>
      </c>
      <c r="G365" s="294" t="s">
        <v>23</v>
      </c>
      <c r="H365" s="346">
        <v>2</v>
      </c>
      <c r="I365" s="347" t="s">
        <v>23</v>
      </c>
    </row>
    <row r="366" spans="1:9" ht="12.3">
      <c r="A366" s="343">
        <v>41991</v>
      </c>
      <c r="B366" s="348" t="str">
        <f>HYPERLINK("http://wp.me/p1bAUO-zTK","Nepal")</f>
        <v>Nepal</v>
      </c>
      <c r="C366" s="345">
        <v>5</v>
      </c>
      <c r="D366" s="345"/>
      <c r="E366" s="345"/>
      <c r="F366" s="293" t="s">
        <v>23</v>
      </c>
      <c r="G366" s="294" t="s">
        <v>23</v>
      </c>
      <c r="H366" s="346" t="s">
        <v>1511</v>
      </c>
      <c r="I366" s="347" t="s">
        <v>23</v>
      </c>
    </row>
    <row r="367" spans="1:9" ht="12.3">
      <c r="A367" s="343">
        <v>41992</v>
      </c>
      <c r="B367" s="345" t="s">
        <v>1792</v>
      </c>
      <c r="C367" s="345"/>
      <c r="D367" s="345"/>
      <c r="E367" s="345"/>
      <c r="F367" s="293" t="s">
        <v>23</v>
      </c>
      <c r="G367" s="294" t="s">
        <v>23</v>
      </c>
      <c r="H367" s="346">
        <v>1</v>
      </c>
      <c r="I367" s="347" t="s">
        <v>23</v>
      </c>
    </row>
    <row r="368" spans="1:9" ht="12.3">
      <c r="A368" s="343">
        <v>41992</v>
      </c>
      <c r="B368" s="344" t="str">
        <f>HYPERLINK("http://wp.me/p1bAUO-zV2","Italy, Tuscany")</f>
        <v>Italy, Tuscany</v>
      </c>
      <c r="C368" s="345">
        <v>4.0999999999999996</v>
      </c>
      <c r="D368" s="345">
        <v>7</v>
      </c>
      <c r="E368" s="345"/>
      <c r="F368" s="293" t="s">
        <v>23</v>
      </c>
      <c r="G368" s="294"/>
      <c r="H368" s="346" t="s">
        <v>1478</v>
      </c>
      <c r="I368" s="347" t="s">
        <v>23</v>
      </c>
    </row>
    <row r="369" spans="1:9" ht="12.3">
      <c r="A369" s="343">
        <v>41992</v>
      </c>
      <c r="B369" s="348" t="str">
        <f>HYPERLINK("http://earthquake-report.com/2014/12/19/moderate-earthquake-northern-algeria-on-december-19-2014/","Algeria, Blida")</f>
        <v>Algeria, Blida</v>
      </c>
      <c r="C369" s="345">
        <v>4.7</v>
      </c>
      <c r="D369" s="345"/>
      <c r="E369" s="345"/>
      <c r="F369" s="293" t="s">
        <v>23</v>
      </c>
      <c r="G369" s="294">
        <v>11</v>
      </c>
      <c r="H369" s="346">
        <v>2</v>
      </c>
      <c r="I369" s="347" t="s">
        <v>23</v>
      </c>
    </row>
    <row r="370" spans="1:9" ht="12.3">
      <c r="A370" s="343">
        <v>41993</v>
      </c>
      <c r="B370" s="345" t="s">
        <v>1939</v>
      </c>
      <c r="C370" s="345">
        <v>0.9</v>
      </c>
      <c r="D370" s="345"/>
      <c r="E370" s="345"/>
      <c r="F370" s="293" t="s">
        <v>23</v>
      </c>
      <c r="G370" s="294" t="s">
        <v>23</v>
      </c>
      <c r="H370" s="346">
        <v>1</v>
      </c>
      <c r="I370" s="347" t="s">
        <v>23</v>
      </c>
    </row>
    <row r="371" spans="1:9" ht="12.3">
      <c r="A371" s="343">
        <v>41994</v>
      </c>
      <c r="B371" s="345" t="s">
        <v>1618</v>
      </c>
      <c r="C371" s="345">
        <v>3.6</v>
      </c>
      <c r="D371" s="345">
        <v>9</v>
      </c>
      <c r="E371" s="345"/>
      <c r="F371" s="293" t="s">
        <v>23</v>
      </c>
      <c r="G371" s="294" t="s">
        <v>23</v>
      </c>
      <c r="H371" s="346">
        <v>1</v>
      </c>
      <c r="I371" s="347" t="s">
        <v>23</v>
      </c>
    </row>
    <row r="372" spans="1:9" ht="12.3">
      <c r="A372" s="343">
        <v>41996</v>
      </c>
      <c r="B372" s="296" t="s">
        <v>1531</v>
      </c>
      <c r="C372" s="345">
        <v>4.9000000000000004</v>
      </c>
      <c r="D372" s="345"/>
      <c r="E372" s="345"/>
      <c r="F372" s="293" t="s">
        <v>23</v>
      </c>
      <c r="G372" s="294">
        <v>13</v>
      </c>
      <c r="H372" s="346">
        <v>3</v>
      </c>
      <c r="I372" s="347" t="s">
        <v>23</v>
      </c>
    </row>
    <row r="373" spans="1:9" ht="12.3">
      <c r="A373" s="343">
        <v>41998</v>
      </c>
      <c r="B373" s="345" t="s">
        <v>793</v>
      </c>
      <c r="C373" s="345">
        <v>3.9</v>
      </c>
      <c r="D373" s="345"/>
      <c r="E373" s="345" t="s">
        <v>35</v>
      </c>
      <c r="F373" s="293" t="s">
        <v>23</v>
      </c>
      <c r="G373" s="294" t="s">
        <v>23</v>
      </c>
      <c r="H373" s="346">
        <v>1</v>
      </c>
      <c r="I373" s="347" t="s">
        <v>23</v>
      </c>
    </row>
    <row r="374" spans="1:9" ht="12.3">
      <c r="A374" s="343">
        <v>41999</v>
      </c>
      <c r="B374" s="296" t="s">
        <v>1531</v>
      </c>
      <c r="C374" s="345">
        <v>4.7</v>
      </c>
      <c r="D374" s="345"/>
      <c r="E374" s="345"/>
      <c r="F374" s="293" t="s">
        <v>23</v>
      </c>
      <c r="G374" s="294">
        <v>12</v>
      </c>
      <c r="H374" s="346">
        <v>3</v>
      </c>
      <c r="I374" s="347" t="s">
        <v>23</v>
      </c>
    </row>
    <row r="375" spans="1:9" ht="12.3">
      <c r="A375" s="343">
        <v>42003</v>
      </c>
      <c r="B375" s="345" t="s">
        <v>615</v>
      </c>
      <c r="C375" s="345">
        <v>2.8</v>
      </c>
      <c r="D375" s="345">
        <v>3</v>
      </c>
      <c r="E375" s="345"/>
      <c r="F375" s="293" t="s">
        <v>23</v>
      </c>
      <c r="G375" s="294" t="s">
        <v>23</v>
      </c>
      <c r="H375" s="346" t="s">
        <v>1478</v>
      </c>
      <c r="I375" s="347" t="s">
        <v>23</v>
      </c>
    </row>
    <row r="376" spans="1:9" ht="12.3">
      <c r="A376" s="343">
        <v>42003</v>
      </c>
      <c r="B376" s="296" t="s">
        <v>1824</v>
      </c>
      <c r="C376" s="345">
        <v>5.3</v>
      </c>
      <c r="D376" s="345">
        <v>10</v>
      </c>
      <c r="E376" s="345"/>
      <c r="F376" s="293" t="s">
        <v>23</v>
      </c>
      <c r="G376" s="294" t="s">
        <v>23</v>
      </c>
      <c r="H376" s="346">
        <v>3</v>
      </c>
      <c r="I376" s="347" t="s">
        <v>23</v>
      </c>
    </row>
    <row r="377" spans="1:9" ht="12.3">
      <c r="A377" s="343">
        <v>42004</v>
      </c>
      <c r="B377" s="345" t="s">
        <v>1940</v>
      </c>
      <c r="C377" s="345">
        <v>2.7</v>
      </c>
      <c r="D377" s="345"/>
      <c r="E377" s="345"/>
      <c r="F377" s="293" t="s">
        <v>23</v>
      </c>
      <c r="G377" s="294" t="s">
        <v>23</v>
      </c>
      <c r="H377" s="346" t="s">
        <v>1478</v>
      </c>
      <c r="I377" s="347" t="s">
        <v>23</v>
      </c>
    </row>
    <row r="378" spans="1:9" ht="12.3"/>
    <row r="379" spans="1:9" ht="12.3"/>
    <row r="380" spans="1:9" ht="12.3"/>
    <row r="381" spans="1:9" ht="12.3"/>
    <row r="382" spans="1:9" ht="12.3"/>
    <row r="383" spans="1:9" ht="12.3"/>
    <row r="384" spans="1:9" ht="12.3"/>
    <row r="385" spans="1:9" ht="12.3"/>
    <row r="386" spans="1:9" ht="12.3"/>
    <row r="387" spans="1:9" ht="12.3"/>
    <row r="388" spans="1:9" ht="12.3"/>
    <row r="389" spans="1:9" ht="12.3"/>
    <row r="390" spans="1:9" ht="12.3">
      <c r="A390" s="342"/>
      <c r="B390" s="342"/>
      <c r="C390" s="342"/>
      <c r="D390" s="342"/>
      <c r="E390" s="342"/>
      <c r="F390" s="342"/>
      <c r="G390" s="342"/>
      <c r="H390" s="342"/>
      <c r="I390" s="342"/>
    </row>
    <row r="391" spans="1:9" ht="12.3"/>
    <row r="392" spans="1:9" ht="12.3"/>
    <row r="393" spans="1:9" ht="12.3"/>
    <row r="394" spans="1:9" ht="12.3"/>
    <row r="395" spans="1:9" ht="12.3"/>
    <row r="396" spans="1:9" ht="12.3"/>
    <row r="397" spans="1:9" ht="12.3"/>
    <row r="398" spans="1:9" ht="12.3"/>
    <row r="399" spans="1:9" ht="12.3"/>
    <row r="400" spans="1:9" ht="12.3"/>
    <row r="401" ht="12.3"/>
    <row r="402" ht="12.3"/>
    <row r="403" ht="12.3"/>
    <row r="404" ht="12.3"/>
    <row r="405" ht="12.3"/>
  </sheetData>
  <mergeCells count="6">
    <mergeCell ref="A390:I390"/>
    <mergeCell ref="F360:F361"/>
    <mergeCell ref="G360:G361"/>
    <mergeCell ref="H360:H361"/>
    <mergeCell ref="A360:A361"/>
    <mergeCell ref="B360:B36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81500-5F85-4E58-86F0-B82DD14CB375}">
  <sheetPr>
    <outlinePr summaryBelow="0" summaryRight="0"/>
  </sheetPr>
  <dimension ref="A1:K371"/>
  <sheetViews>
    <sheetView topLeftCell="D1" workbookViewId="0">
      <pane ySplit="1" topLeftCell="A2" activePane="bottomLeft" state="frozen"/>
      <selection pane="bottomLeft" activeCell="B3" sqref="B3"/>
    </sheetView>
    <sheetView topLeftCell="D1" workbookViewId="1">
      <selection activeCell="N16" sqref="N16"/>
    </sheetView>
  </sheetViews>
  <sheetFormatPr defaultColWidth="13.68359375" defaultRowHeight="15.75" customHeight="1"/>
  <cols>
    <col min="1" max="1" width="10.68359375" style="8" customWidth="1"/>
    <col min="2" max="2" width="37.734375" style="8" customWidth="1"/>
    <col min="3" max="3" width="9.89453125" style="8" customWidth="1"/>
    <col min="4" max="4" width="8" style="8" customWidth="1"/>
    <col min="5" max="5" width="8.7890625" style="8" customWidth="1"/>
    <col min="6" max="6" width="8.26171875" style="8" customWidth="1"/>
    <col min="7" max="7" width="7.83984375" style="8" customWidth="1"/>
    <col min="8" max="9" width="8.1015625" style="8" customWidth="1"/>
    <col min="10" max="10" width="9.05078125" style="8" customWidth="1"/>
    <col min="11" max="11" width="8.5234375" style="8" customWidth="1"/>
    <col min="12" max="16384" width="13.68359375" style="8"/>
  </cols>
  <sheetData>
    <row r="1" spans="1:11" ht="22.5" customHeight="1">
      <c r="A1" s="211" t="s">
        <v>0</v>
      </c>
      <c r="B1" s="211" t="s">
        <v>1468</v>
      </c>
      <c r="C1" s="211" t="s">
        <v>1078</v>
      </c>
      <c r="D1" s="211" t="s">
        <v>5</v>
      </c>
      <c r="E1" s="211" t="s">
        <v>1464</v>
      </c>
      <c r="F1" s="215" t="s">
        <v>9</v>
      </c>
      <c r="G1" s="216" t="s">
        <v>10</v>
      </c>
      <c r="H1" s="217" t="s">
        <v>1469</v>
      </c>
      <c r="I1" s="206" t="s">
        <v>13</v>
      </c>
      <c r="J1" s="206" t="s">
        <v>14</v>
      </c>
      <c r="K1" s="205" t="s">
        <v>1770</v>
      </c>
    </row>
    <row r="2" spans="1:11" ht="12.3">
      <c r="A2" s="266">
        <v>42005</v>
      </c>
      <c r="B2" s="267" t="str">
        <f>HYPERLINK("http://wp.me/p1bAUO-Adi","Hungary, Nógrád")</f>
        <v>Hungary, Nógrád</v>
      </c>
      <c r="C2" s="268">
        <v>3.9</v>
      </c>
      <c r="D2" s="268"/>
      <c r="E2" s="268"/>
      <c r="F2" s="269" t="s">
        <v>23</v>
      </c>
      <c r="G2" s="270" t="s">
        <v>23</v>
      </c>
      <c r="H2" s="271" t="s">
        <v>1478</v>
      </c>
      <c r="I2" s="272">
        <v>20</v>
      </c>
      <c r="J2" s="272">
        <v>0</v>
      </c>
      <c r="K2" s="273" t="s">
        <v>23</v>
      </c>
    </row>
    <row r="3" spans="1:11" ht="12.3">
      <c r="A3" s="218">
        <v>42005</v>
      </c>
      <c r="B3" s="244" t="str">
        <f>HYPERLINK("http://earthquake-report.com/2015/01/01/moderate-earthquake-southern-iran-on-january-1-2015/","Iran, Bushehr")</f>
        <v>Iran, Bushehr</v>
      </c>
      <c r="C3" s="197">
        <v>5.0999999999999996</v>
      </c>
      <c r="D3" s="197"/>
      <c r="E3" s="197"/>
      <c r="F3" s="184" t="s">
        <v>23</v>
      </c>
      <c r="G3" s="195" t="s">
        <v>23</v>
      </c>
      <c r="H3" s="219">
        <v>2</v>
      </c>
      <c r="I3" s="242">
        <v>40</v>
      </c>
      <c r="J3" s="242">
        <v>0</v>
      </c>
      <c r="K3" s="191" t="s">
        <v>23</v>
      </c>
    </row>
    <row r="4" spans="1:11" ht="12.3">
      <c r="A4" s="266">
        <v>42005</v>
      </c>
      <c r="B4" s="267" t="str">
        <f>HYPERLINK("http://wp.me/p1bAUO-Adi","Hungary, Nógrád")</f>
        <v>Hungary, Nógrád</v>
      </c>
      <c r="C4" s="274">
        <v>4</v>
      </c>
      <c r="D4" s="268"/>
      <c r="E4" s="268"/>
      <c r="F4" s="269" t="s">
        <v>23</v>
      </c>
      <c r="G4" s="270" t="s">
        <v>23</v>
      </c>
      <c r="H4" s="271" t="s">
        <v>1478</v>
      </c>
      <c r="I4" s="272">
        <v>10</v>
      </c>
      <c r="J4" s="272">
        <v>0</v>
      </c>
      <c r="K4" s="273" t="s">
        <v>23</v>
      </c>
    </row>
    <row r="5" spans="1:11" ht="12.3">
      <c r="A5" s="266">
        <v>42007</v>
      </c>
      <c r="B5" s="267" t="str">
        <f>HYPERLINK("http://earthquake-report.com/2015/01/03/moderate-earthquake-western-idaho-on-january-3-2015/","USA, Idaho")</f>
        <v>USA, Idaho</v>
      </c>
      <c r="C5" s="268">
        <v>4.9000000000000004</v>
      </c>
      <c r="D5" s="268">
        <v>8</v>
      </c>
      <c r="E5" s="268" t="s">
        <v>35</v>
      </c>
      <c r="F5" s="269" t="s">
        <v>23</v>
      </c>
      <c r="G5" s="270" t="s">
        <v>23</v>
      </c>
      <c r="H5" s="271" t="s">
        <v>1478</v>
      </c>
      <c r="I5" s="272">
        <v>10</v>
      </c>
      <c r="J5" s="272">
        <v>0</v>
      </c>
      <c r="K5" s="273" t="s">
        <v>23</v>
      </c>
    </row>
    <row r="6" spans="1:11" ht="12.3">
      <c r="A6" s="218">
        <v>42008</v>
      </c>
      <c r="B6" s="244" t="str">
        <f>HYPERLINK("http://earthquake-report.com/2015/01/04/minor-earthquake-guthrie-oklahoma-on-january-4-2015/","USA, Oklahoma")</f>
        <v>USA, Oklahoma</v>
      </c>
      <c r="C6" s="197" t="s">
        <v>1771</v>
      </c>
      <c r="D6" s="197"/>
      <c r="E6" s="197"/>
      <c r="F6" s="184" t="s">
        <v>23</v>
      </c>
      <c r="G6" s="195" t="s">
        <v>23</v>
      </c>
      <c r="H6" s="219">
        <v>1</v>
      </c>
      <c r="I6" s="242">
        <v>1</v>
      </c>
      <c r="J6" s="242">
        <v>0</v>
      </c>
      <c r="K6" s="191" t="s">
        <v>23</v>
      </c>
    </row>
    <row r="7" spans="1:11" ht="12.3">
      <c r="A7" s="266">
        <v>42009</v>
      </c>
      <c r="B7" s="267" t="str">
        <f>HYPERLINK("http://earthquake-report.com/2015/01/05/moderate-earthquake-firuzabad-iran-on-january-5-2015/","Iran, Ilam")</f>
        <v>Iran, Ilam</v>
      </c>
      <c r="C7" s="274">
        <v>4</v>
      </c>
      <c r="D7" s="268"/>
      <c r="E7" s="268"/>
      <c r="F7" s="269" t="s">
        <v>23</v>
      </c>
      <c r="G7" s="270">
        <v>2</v>
      </c>
      <c r="H7" s="271" t="s">
        <v>23</v>
      </c>
      <c r="I7" s="272">
        <v>0</v>
      </c>
      <c r="J7" s="272">
        <v>0</v>
      </c>
      <c r="K7" s="273" t="s">
        <v>23</v>
      </c>
    </row>
    <row r="8" spans="1:11" ht="12.3">
      <c r="A8" s="266">
        <v>42009</v>
      </c>
      <c r="B8" s="267" t="str">
        <f>HYPERLINK("http://wp.me/p1bAUO-Ajb","New Zealand, West Coast ")</f>
        <v xml:space="preserve">New Zealand, West Coast </v>
      </c>
      <c r="C8" s="275">
        <v>5.6</v>
      </c>
      <c r="D8" s="268">
        <v>8</v>
      </c>
      <c r="E8" s="268" t="s">
        <v>35</v>
      </c>
      <c r="F8" s="269" t="s">
        <v>23</v>
      </c>
      <c r="G8" s="270" t="s">
        <v>23</v>
      </c>
      <c r="H8" s="271">
        <v>1</v>
      </c>
      <c r="I8" s="272">
        <v>17</v>
      </c>
      <c r="J8" s="272">
        <v>0</v>
      </c>
      <c r="K8" s="273" t="s">
        <v>23</v>
      </c>
    </row>
    <row r="9" spans="1:11" ht="12.3">
      <c r="A9" s="266">
        <v>42010</v>
      </c>
      <c r="B9" s="267" t="str">
        <f>HYPERLINK("http://earthquake-report.com/2015/01/06/earthquakes-in-the-world-on-january-06-2015-m2-9-or-more/","Netherlands, Groningen")</f>
        <v>Netherlands, Groningen</v>
      </c>
      <c r="C9" s="268" t="s">
        <v>1505</v>
      </c>
      <c r="D9" s="268">
        <v>3</v>
      </c>
      <c r="E9" s="268"/>
      <c r="F9" s="269" t="s">
        <v>23</v>
      </c>
      <c r="G9" s="270" t="s">
        <v>23</v>
      </c>
      <c r="H9" s="271" t="s">
        <v>1478</v>
      </c>
      <c r="I9" s="272">
        <v>186</v>
      </c>
      <c r="J9" s="272">
        <v>0</v>
      </c>
      <c r="K9" s="273" t="s">
        <v>23</v>
      </c>
    </row>
    <row r="10" spans="1:11" ht="12.3">
      <c r="A10" s="266">
        <v>42010</v>
      </c>
      <c r="B10" s="267" t="str">
        <f>HYPERLINK("http://earthquake-report.com/2015/01/06/minor-earthquake-irving-texas-on-january-6-2015/","USA, Texas (Dallas area)")</f>
        <v>USA, Texas (Dallas area)</v>
      </c>
      <c r="C10" s="268" t="s">
        <v>1608</v>
      </c>
      <c r="D10" s="268"/>
      <c r="E10" s="268" t="s">
        <v>134</v>
      </c>
      <c r="F10" s="269" t="s">
        <v>23</v>
      </c>
      <c r="G10" s="270" t="s">
        <v>23</v>
      </c>
      <c r="H10" s="271">
        <v>1</v>
      </c>
      <c r="I10" s="272">
        <v>5</v>
      </c>
      <c r="J10" s="272">
        <v>0</v>
      </c>
      <c r="K10" s="273" t="s">
        <v>23</v>
      </c>
    </row>
    <row r="11" spans="1:11" ht="12.3">
      <c r="A11" s="266">
        <v>42011</v>
      </c>
      <c r="B11" s="267" t="str">
        <f>HYPERLINK("http://earthquake-report.com/2015/01/07/minor-earthquake-irving-texas-on-january-7-2015-2/","USA, Texas (Dallas area)")</f>
        <v>USA, Texas (Dallas area)</v>
      </c>
      <c r="C11" s="268" t="s">
        <v>1772</v>
      </c>
      <c r="D11" s="268"/>
      <c r="E11" s="268" t="s">
        <v>134</v>
      </c>
      <c r="F11" s="269" t="s">
        <v>23</v>
      </c>
      <c r="G11" s="270" t="s">
        <v>23</v>
      </c>
      <c r="H11" s="271">
        <v>1</v>
      </c>
      <c r="I11" s="272">
        <v>5</v>
      </c>
      <c r="J11" s="272">
        <v>0</v>
      </c>
      <c r="K11" s="273" t="s">
        <v>23</v>
      </c>
    </row>
    <row r="12" spans="1:11" ht="12.3">
      <c r="A12" s="218">
        <v>42012</v>
      </c>
      <c r="B12" s="276" t="str">
        <f>HYPERLINK("http://earthquake-report.com/2015/01/08/moderate-earthquake-tofino-canada-on-january-8-2015/","Canada, British Colombia")</f>
        <v>Canada, British Colombia</v>
      </c>
      <c r="C12" s="197">
        <v>4.8</v>
      </c>
      <c r="D12" s="197">
        <v>25</v>
      </c>
      <c r="E12" s="197"/>
      <c r="F12" s="184" t="s">
        <v>23</v>
      </c>
      <c r="G12" s="195" t="s">
        <v>23</v>
      </c>
      <c r="H12" s="219" t="s">
        <v>1478</v>
      </c>
      <c r="I12" s="242">
        <v>10</v>
      </c>
      <c r="J12" s="242">
        <v>0</v>
      </c>
      <c r="K12" s="191" t="s">
        <v>23</v>
      </c>
    </row>
    <row r="13" spans="1:11" ht="12.3">
      <c r="A13" s="218">
        <v>42012</v>
      </c>
      <c r="B13" s="244" t="str">
        <f>HYPERLINK("http://earthquake-report.com/2015/01/08/earthquakes-in-the-world-on-january-08-2015-m2-9-or-more/","USA, Connecticut")</f>
        <v>USA, Connecticut</v>
      </c>
      <c r="C13" s="197">
        <v>2.2999999999999998</v>
      </c>
      <c r="D13" s="197">
        <v>4</v>
      </c>
      <c r="E13" s="197"/>
      <c r="F13" s="184" t="s">
        <v>23</v>
      </c>
      <c r="G13" s="195" t="s">
        <v>23</v>
      </c>
      <c r="H13" s="219">
        <v>1</v>
      </c>
      <c r="I13" s="242">
        <v>2</v>
      </c>
      <c r="J13" s="242">
        <v>0</v>
      </c>
      <c r="K13" s="191" t="s">
        <v>23</v>
      </c>
    </row>
    <row r="14" spans="1:11" ht="12.3">
      <c r="A14" s="266">
        <v>42012</v>
      </c>
      <c r="B14" s="267" t="str">
        <f>HYPERLINK("http://earthquake-report.com/2015/01/08/moderate-earthquake-central-turkey-on-january-8-2015/","Turkey, Gaziantep")</f>
        <v>Turkey, Gaziantep</v>
      </c>
      <c r="C14" s="268">
        <v>4.5999999999999996</v>
      </c>
      <c r="D14" s="268">
        <v>9</v>
      </c>
      <c r="E14" s="268"/>
      <c r="F14" s="269" t="s">
        <v>23</v>
      </c>
      <c r="G14" s="270" t="s">
        <v>23</v>
      </c>
      <c r="H14" s="271" t="s">
        <v>1478</v>
      </c>
      <c r="I14" s="272">
        <v>15</v>
      </c>
      <c r="J14" s="272">
        <v>0</v>
      </c>
      <c r="K14" s="273" t="s">
        <v>23</v>
      </c>
    </row>
    <row r="15" spans="1:11" ht="12.3">
      <c r="A15" s="266">
        <v>42014</v>
      </c>
      <c r="B15" s="277" t="str">
        <f>HYPERLINK("http://earthquake-report.com/2015/01/10/moderate-earthquake-kyrgyzstan-xinjiang-border-reg-on-january-10-2015/","China Xinjiang")</f>
        <v>China Xinjiang</v>
      </c>
      <c r="C15" s="274">
        <v>5</v>
      </c>
      <c r="D15" s="268">
        <v>10</v>
      </c>
      <c r="E15" s="268"/>
      <c r="F15" s="269" t="s">
        <v>23</v>
      </c>
      <c r="G15" s="270" t="s">
        <v>23</v>
      </c>
      <c r="H15" s="271">
        <v>3</v>
      </c>
      <c r="I15" s="272">
        <v>560</v>
      </c>
      <c r="J15" s="272">
        <v>3</v>
      </c>
      <c r="K15" s="273" t="s">
        <v>23</v>
      </c>
    </row>
    <row r="16" spans="1:11" ht="12.3">
      <c r="A16" s="218">
        <v>42014</v>
      </c>
      <c r="B16" s="244" t="str">
        <f>HYPERLINK("http://earthquake-report.com/2015/01/10/moderate-earthquake-southern-iran-on-january-10-2015/","Iran, Bushehr")</f>
        <v>Iran, Bushehr</v>
      </c>
      <c r="C16" s="234">
        <v>5</v>
      </c>
      <c r="D16" s="197">
        <v>10</v>
      </c>
      <c r="E16" s="197"/>
      <c r="F16" s="184" t="s">
        <v>23</v>
      </c>
      <c r="G16" s="195" t="s">
        <v>23</v>
      </c>
      <c r="H16" s="219" t="s">
        <v>1478</v>
      </c>
      <c r="I16" s="242">
        <v>10</v>
      </c>
      <c r="J16" s="242">
        <v>0</v>
      </c>
      <c r="K16" s="191" t="s">
        <v>23</v>
      </c>
    </row>
    <row r="17" spans="1:11" ht="12.3">
      <c r="A17" s="266">
        <v>42014</v>
      </c>
      <c r="B17" s="267" t="str">
        <f>HYPERLINK("http://earthquake-report.com/2015/01/10/strong-earthquake-luzon-philippines-on-january-10-2015/","OS Philippines, Central Luzon")</f>
        <v>OS Philippines, Central Luzon</v>
      </c>
      <c r="C17" s="278">
        <v>6</v>
      </c>
      <c r="D17" s="268">
        <v>85</v>
      </c>
      <c r="E17" s="268" t="s">
        <v>134</v>
      </c>
      <c r="F17" s="269" t="s">
        <v>23</v>
      </c>
      <c r="G17" s="270" t="s">
        <v>23</v>
      </c>
      <c r="H17" s="271">
        <v>1</v>
      </c>
      <c r="I17" s="272">
        <v>1</v>
      </c>
      <c r="J17" s="272">
        <v>0</v>
      </c>
      <c r="K17" s="273" t="s">
        <v>23</v>
      </c>
    </row>
    <row r="18" spans="1:11" ht="12.3">
      <c r="A18" s="266">
        <v>42015</v>
      </c>
      <c r="B18" s="267" t="str">
        <f>HYPERLINK("http://wp.me/p1bAUO-ApP","Spain, Valencia")</f>
        <v>Spain, Valencia</v>
      </c>
      <c r="C18" s="268">
        <v>3.2</v>
      </c>
      <c r="D18" s="268">
        <v>5</v>
      </c>
      <c r="E18" s="268" t="s">
        <v>684</v>
      </c>
      <c r="F18" s="269" t="s">
        <v>23</v>
      </c>
      <c r="G18" s="270" t="s">
        <v>23</v>
      </c>
      <c r="H18" s="271">
        <v>1</v>
      </c>
      <c r="I18" s="272">
        <v>1</v>
      </c>
      <c r="J18" s="272">
        <v>0</v>
      </c>
      <c r="K18" s="273" t="s">
        <v>23</v>
      </c>
    </row>
    <row r="19" spans="1:11" ht="12.3">
      <c r="A19" s="266">
        <v>42015</v>
      </c>
      <c r="B19" s="277" t="str">
        <f>HYPERLINK("http://earthquake-report.com/2015/01/11/moderate-earthquake-southern-iran-on-january-11-2015/","Iran, Bushehr")</f>
        <v>Iran, Bushehr</v>
      </c>
      <c r="C19" s="268">
        <v>4.2</v>
      </c>
      <c r="D19" s="268">
        <v>12</v>
      </c>
      <c r="E19" s="268"/>
      <c r="F19" s="269" t="s">
        <v>23</v>
      </c>
      <c r="G19" s="270" t="s">
        <v>23</v>
      </c>
      <c r="H19" s="271">
        <v>3</v>
      </c>
      <c r="I19" s="272"/>
      <c r="J19" s="272"/>
      <c r="K19" s="273" t="s">
        <v>23</v>
      </c>
    </row>
    <row r="20" spans="1:11" ht="12.3">
      <c r="A20" s="266">
        <v>42016</v>
      </c>
      <c r="B20" s="267" t="str">
        <f>HYPERLINK("http://earthquake-report.com/2015/01/12/minor-earthquake-plainfield-connecticut-on-january-12-2015/","USA, Connecticut")</f>
        <v>USA, Connecticut</v>
      </c>
      <c r="C20" s="268">
        <v>3.3</v>
      </c>
      <c r="D20" s="268">
        <v>3</v>
      </c>
      <c r="E20" s="268" t="s">
        <v>134</v>
      </c>
      <c r="F20" s="269" t="s">
        <v>23</v>
      </c>
      <c r="G20" s="270" t="s">
        <v>23</v>
      </c>
      <c r="H20" s="271" t="s">
        <v>1478</v>
      </c>
      <c r="I20" s="272"/>
      <c r="J20" s="272"/>
      <c r="K20" s="273" t="s">
        <v>23</v>
      </c>
    </row>
    <row r="21" spans="1:11" ht="12.3">
      <c r="A21" s="266">
        <v>42017</v>
      </c>
      <c r="B21" s="267" t="str">
        <f>HYPERLINK("http://earthquake-report.com/2015/01/13/moderate-earthquake-dominican-republic-region-on-january-13-2015/","Dominican Republc, Barahona")</f>
        <v>Dominican Republc, Barahona</v>
      </c>
      <c r="C21" s="268">
        <v>4.7</v>
      </c>
      <c r="D21" s="268"/>
      <c r="E21" s="268"/>
      <c r="F21" s="269" t="s">
        <v>23</v>
      </c>
      <c r="G21" s="270" t="s">
        <v>23</v>
      </c>
      <c r="H21" s="271">
        <v>2</v>
      </c>
      <c r="I21" s="272">
        <v>3</v>
      </c>
      <c r="J21" s="272">
        <v>1</v>
      </c>
      <c r="K21" s="273" t="s">
        <v>23</v>
      </c>
    </row>
    <row r="22" spans="1:11" ht="12.3">
      <c r="A22" s="218">
        <v>42017</v>
      </c>
      <c r="B22" s="244" t="str">
        <f>HYPERLINK("http://earthquake-report.com/2015/01/13/earthquakes-in-the-world-on-january-13-2015-m2-9-or-more/","USA, Connecticut")</f>
        <v>USA, Connecticut</v>
      </c>
      <c r="C22" s="197">
        <v>2.2999999999999998</v>
      </c>
      <c r="D22" s="197"/>
      <c r="E22" s="197"/>
      <c r="F22" s="184" t="s">
        <v>23</v>
      </c>
      <c r="G22" s="195" t="s">
        <v>23</v>
      </c>
      <c r="H22" s="235">
        <v>1</v>
      </c>
      <c r="I22" s="221">
        <v>1</v>
      </c>
      <c r="J22" s="221">
        <v>0</v>
      </c>
      <c r="K22" s="191" t="s">
        <v>23</v>
      </c>
    </row>
    <row r="23" spans="1:11" ht="12.3">
      <c r="A23" s="266">
        <v>42018</v>
      </c>
      <c r="B23" s="277" t="str">
        <f>HYPERLINK("http://earthquake-report.com/2015/01/14/moderate-earthquake-sichuan-china-on-january-14-2015/","China, Sichuan")</f>
        <v>China, Sichuan</v>
      </c>
      <c r="C23" s="274">
        <v>5</v>
      </c>
      <c r="D23" s="268"/>
      <c r="E23" s="268" t="s">
        <v>35</v>
      </c>
      <c r="F23" s="269" t="s">
        <v>23</v>
      </c>
      <c r="G23" s="270">
        <v>17</v>
      </c>
      <c r="H23" s="271" t="s">
        <v>1508</v>
      </c>
      <c r="I23" s="272">
        <v>13355</v>
      </c>
      <c r="J23" s="272">
        <v>13</v>
      </c>
      <c r="K23" s="273" t="s">
        <v>23</v>
      </c>
    </row>
    <row r="24" spans="1:11" ht="12.3">
      <c r="A24" s="266">
        <v>42018</v>
      </c>
      <c r="B24" s="267" t="str">
        <f>HYPERLINK("http://earthquake-report.com/2015/01/14/moderate-earthquake-iran-iraq-border-region-on-january-14-2015/","Iran, Ilam")</f>
        <v>Iran, Ilam</v>
      </c>
      <c r="C24" s="268">
        <v>4.7</v>
      </c>
      <c r="D24" s="268">
        <v>21</v>
      </c>
      <c r="E24" s="268"/>
      <c r="F24" s="269" t="s">
        <v>23</v>
      </c>
      <c r="G24" s="270" t="s">
        <v>23</v>
      </c>
      <c r="H24" s="271">
        <v>2</v>
      </c>
      <c r="I24" s="272"/>
      <c r="J24" s="272"/>
      <c r="K24" s="273" t="s">
        <v>23</v>
      </c>
    </row>
    <row r="25" spans="1:11" ht="12.3">
      <c r="A25" s="279">
        <v>42018</v>
      </c>
      <c r="B25" s="280" t="str">
        <f>HYPERLINK("http://earthquake-report.com/2015/01/14/earthquakes-in-the-world-on-january-14-2015-m2-9-or-more/","Dominican Republc, Barahona (aftershock)")</f>
        <v>Dominican Republc, Barahona (aftershock)</v>
      </c>
      <c r="C25" s="281">
        <v>3</v>
      </c>
      <c r="D25" s="282"/>
      <c r="E25" s="282"/>
      <c r="F25" s="269">
        <v>2</v>
      </c>
      <c r="G25" s="270" t="s">
        <v>23</v>
      </c>
      <c r="H25" s="283">
        <v>1</v>
      </c>
      <c r="I25" s="284">
        <v>0</v>
      </c>
      <c r="J25" s="284">
        <v>0</v>
      </c>
      <c r="K25" s="285" t="s">
        <v>23</v>
      </c>
    </row>
    <row r="26" spans="1:11" ht="12.3">
      <c r="A26" s="266">
        <v>42020</v>
      </c>
      <c r="B26" s="268" t="s">
        <v>1773</v>
      </c>
      <c r="C26" s="268"/>
      <c r="D26" s="268"/>
      <c r="E26" s="268"/>
      <c r="F26" s="269" t="s">
        <v>23</v>
      </c>
      <c r="G26" s="270" t="s">
        <v>23</v>
      </c>
      <c r="H26" s="271">
        <v>1</v>
      </c>
      <c r="I26" s="272">
        <v>1</v>
      </c>
      <c r="J26" s="272">
        <v>0</v>
      </c>
      <c r="K26" s="273" t="s">
        <v>23</v>
      </c>
    </row>
    <row r="27" spans="1:11" ht="12.3">
      <c r="A27" s="266">
        <v>42022</v>
      </c>
      <c r="B27" s="267" t="str">
        <f>HYPERLINK("http://earthquake-report.com/2015/01/18/earthquakes-in-the-world-on-january-18-2015-m2-9-or-more/","China, Henan")</f>
        <v>China, Henan</v>
      </c>
      <c r="C27" s="268">
        <v>3.9</v>
      </c>
      <c r="D27" s="268">
        <v>7</v>
      </c>
      <c r="E27" s="268" t="s">
        <v>134</v>
      </c>
      <c r="F27" s="269" t="s">
        <v>23</v>
      </c>
      <c r="G27" s="270" t="s">
        <v>23</v>
      </c>
      <c r="H27" s="271" t="s">
        <v>1478</v>
      </c>
      <c r="I27" s="272">
        <v>24</v>
      </c>
      <c r="J27" s="272">
        <v>0</v>
      </c>
      <c r="K27" s="273" t="s">
        <v>23</v>
      </c>
    </row>
    <row r="28" spans="1:11" ht="12.3">
      <c r="A28" s="266">
        <v>42024</v>
      </c>
      <c r="B28" s="267" t="str">
        <f>HYPERLINK("http://earthquake-report.com/2015/01/20/earthquakes-in-the-world-on-january-20-2015-m2-9-or-more/","Peru, Arequipa (Sabancaya volcano)")</f>
        <v>Peru, Arequipa (Sabancaya volcano)</v>
      </c>
      <c r="C28" s="268">
        <v>3.9</v>
      </c>
      <c r="D28" s="268">
        <v>7</v>
      </c>
      <c r="E28" s="268"/>
      <c r="F28" s="269" t="s">
        <v>23</v>
      </c>
      <c r="G28" s="270" t="s">
        <v>23</v>
      </c>
      <c r="H28" s="271">
        <v>1</v>
      </c>
      <c r="I28" s="272">
        <v>3</v>
      </c>
      <c r="J28" s="272">
        <v>0</v>
      </c>
      <c r="K28" s="273" t="s">
        <v>23</v>
      </c>
    </row>
    <row r="29" spans="1:11" ht="12.3">
      <c r="A29" s="218">
        <v>42024</v>
      </c>
      <c r="B29" s="286" t="str">
        <f>HYPERLINK("http://earthquake-report.com/2015/01/20/moderate-earthquake-northern-xinjiang-china-on-january-20-2015/","China, Xinjiang")</f>
        <v>China, Xinjiang</v>
      </c>
      <c r="C29" s="197">
        <v>4.5</v>
      </c>
      <c r="D29" s="197">
        <v>10</v>
      </c>
      <c r="E29" s="197"/>
      <c r="F29" s="184" t="s">
        <v>23</v>
      </c>
      <c r="G29" s="195" t="s">
        <v>23</v>
      </c>
      <c r="H29" s="235" t="s">
        <v>1511</v>
      </c>
      <c r="I29" s="221">
        <v>1530</v>
      </c>
      <c r="J29" s="221">
        <v>0</v>
      </c>
      <c r="K29" s="191" t="s">
        <v>23</v>
      </c>
    </row>
    <row r="30" spans="1:11" ht="12.3">
      <c r="A30" s="266">
        <v>42025</v>
      </c>
      <c r="B30" s="268" t="s">
        <v>1774</v>
      </c>
      <c r="C30" s="268">
        <v>4.4000000000000004</v>
      </c>
      <c r="D30" s="268">
        <v>4</v>
      </c>
      <c r="E30" s="268"/>
      <c r="F30" s="269" t="s">
        <v>23</v>
      </c>
      <c r="G30" s="270" t="s">
        <v>23</v>
      </c>
      <c r="H30" s="271" t="s">
        <v>1478</v>
      </c>
      <c r="I30" s="272">
        <v>8</v>
      </c>
      <c r="J30" s="272">
        <v>0</v>
      </c>
      <c r="K30" s="273" t="s">
        <v>23</v>
      </c>
    </row>
    <row r="31" spans="1:11" ht="12.3">
      <c r="A31" s="266">
        <v>42025</v>
      </c>
      <c r="B31" s="267" t="str">
        <f>HYPERLINK("http://earthquake-report.com/2015/01/21/moderate-earthquake-dubovo-kosovo-on-january-21-2015/","Kosovo")</f>
        <v>Kosovo</v>
      </c>
      <c r="C31" s="268">
        <v>4.2</v>
      </c>
      <c r="D31" s="268"/>
      <c r="E31" s="268" t="s">
        <v>35</v>
      </c>
      <c r="F31" s="269" t="s">
        <v>23</v>
      </c>
      <c r="G31" s="270" t="s">
        <v>23</v>
      </c>
      <c r="H31" s="271">
        <v>1</v>
      </c>
      <c r="I31" s="272">
        <v>1</v>
      </c>
      <c r="J31" s="272">
        <v>0</v>
      </c>
      <c r="K31" s="273" t="s">
        <v>23</v>
      </c>
    </row>
    <row r="32" spans="1:11" ht="12.3">
      <c r="A32" s="266">
        <v>42027</v>
      </c>
      <c r="B32" s="267" t="str">
        <f>HYPERLINK("http://earthquake-report.com/2015/01/23/moderate-earthquake-northern-italy-on-january-23-2015/","Italy, Emilia-Romagna")</f>
        <v>Italy, Emilia-Romagna</v>
      </c>
      <c r="C32" s="268">
        <v>4.0999999999999996</v>
      </c>
      <c r="D32" s="268">
        <v>9</v>
      </c>
      <c r="E32" s="268" t="s">
        <v>1364</v>
      </c>
      <c r="F32" s="269" t="s">
        <v>23</v>
      </c>
      <c r="G32" s="270" t="s">
        <v>23</v>
      </c>
      <c r="H32" s="271">
        <v>1</v>
      </c>
      <c r="I32" s="272">
        <v>5</v>
      </c>
      <c r="J32" s="272">
        <v>0</v>
      </c>
      <c r="K32" s="273" t="s">
        <v>23</v>
      </c>
    </row>
    <row r="33" spans="1:11" ht="12.3">
      <c r="A33" s="266">
        <v>42027</v>
      </c>
      <c r="B33" s="267" t="str">
        <f>HYPERLINK("http://earthquake-report.com/2015/01/23/moderate-earthquake-turkey-on-january-23-2015/","Turkey, Bursa")</f>
        <v>Turkey, Bursa</v>
      </c>
      <c r="C33" s="268">
        <v>4.5</v>
      </c>
      <c r="D33" s="268">
        <v>5</v>
      </c>
      <c r="E33" s="268"/>
      <c r="F33" s="269" t="s">
        <v>23</v>
      </c>
      <c r="G33" s="270" t="s">
        <v>23</v>
      </c>
      <c r="H33" s="271">
        <v>1</v>
      </c>
      <c r="I33" s="272"/>
      <c r="J33" s="272">
        <v>0</v>
      </c>
      <c r="K33" s="273" t="s">
        <v>23</v>
      </c>
    </row>
    <row r="34" spans="1:11" ht="12.3">
      <c r="A34" s="218">
        <v>42028</v>
      </c>
      <c r="B34" s="244" t="str">
        <f>HYPERLINK("http://earthquake-report.com/2015/01/25/moderate-earthquake-colombia-ecuador-border-region-on-january-24-2015-2/","Ecuador, Carchi (Cerro Negro volcano)")</f>
        <v>Ecuador, Carchi (Cerro Negro volcano)</v>
      </c>
      <c r="C34" s="197">
        <v>4.5999999999999996</v>
      </c>
      <c r="D34" s="197">
        <v>4</v>
      </c>
      <c r="E34" s="197"/>
      <c r="F34" s="184" t="s">
        <v>23</v>
      </c>
      <c r="G34" s="195" t="s">
        <v>23</v>
      </c>
      <c r="H34" s="235">
        <v>2</v>
      </c>
      <c r="I34" s="221"/>
      <c r="J34" s="221">
        <v>0</v>
      </c>
      <c r="K34" s="191" t="s">
        <v>23</v>
      </c>
    </row>
    <row r="35" spans="1:11" ht="12.3">
      <c r="A35" s="266">
        <v>42029</v>
      </c>
      <c r="B35" s="267" t="str">
        <f>HYPERLINK("http://earthquake-report.com/2015/01/25/moderate-earthquake-southern-iran-on-january-25-2015/","Iran, Hormozgan")</f>
        <v>Iran, Hormozgan</v>
      </c>
      <c r="C35" s="274">
        <v>5</v>
      </c>
      <c r="D35" s="268">
        <v>7</v>
      </c>
      <c r="E35" s="268"/>
      <c r="F35" s="269" t="s">
        <v>23</v>
      </c>
      <c r="G35" s="270" t="s">
        <v>23</v>
      </c>
      <c r="H35" s="271" t="s">
        <v>1478</v>
      </c>
      <c r="I35" s="272"/>
      <c r="J35" s="272">
        <v>0</v>
      </c>
      <c r="K35" s="273" t="s">
        <v>23</v>
      </c>
    </row>
    <row r="36" spans="1:11" ht="12.3">
      <c r="A36" s="266">
        <v>42030</v>
      </c>
      <c r="B36" s="267" t="str">
        <f>HYPERLINK("http://earthquake-report.com/2015/01/26/moderate-earthquake-eastern-caucasus-on-january-26-2015/","Azerbaijan, Quba")</f>
        <v>Azerbaijan, Quba</v>
      </c>
      <c r="C36" s="274">
        <v>5</v>
      </c>
      <c r="D36" s="268">
        <v>7</v>
      </c>
      <c r="E36" s="268" t="s">
        <v>134</v>
      </c>
      <c r="F36" s="269" t="s">
        <v>23</v>
      </c>
      <c r="G36" s="270" t="s">
        <v>23</v>
      </c>
      <c r="H36" s="271">
        <v>1</v>
      </c>
      <c r="I36" s="272">
        <v>3</v>
      </c>
      <c r="J36" s="272">
        <v>0</v>
      </c>
      <c r="K36" s="273" t="s">
        <v>23</v>
      </c>
    </row>
    <row r="37" spans="1:11" ht="12.3">
      <c r="A37" s="266">
        <v>42030</v>
      </c>
      <c r="B37" s="268" t="s">
        <v>1775</v>
      </c>
      <c r="C37" s="274">
        <v>3</v>
      </c>
      <c r="D37" s="268">
        <v>3</v>
      </c>
      <c r="E37" s="268"/>
      <c r="F37" s="269" t="s">
        <v>23</v>
      </c>
      <c r="G37" s="270" t="s">
        <v>23</v>
      </c>
      <c r="H37" s="271">
        <v>1</v>
      </c>
      <c r="I37" s="272">
        <v>1</v>
      </c>
      <c r="J37" s="272">
        <v>0</v>
      </c>
      <c r="K37" s="273" t="s">
        <v>23</v>
      </c>
    </row>
    <row r="38" spans="1:11" ht="12.3">
      <c r="A38" s="266">
        <v>42032</v>
      </c>
      <c r="B38" s="267" t="str">
        <f>HYPERLINK("http://earthquake-report.com/2015/01/28/minor-earthquake-germany-on-january-28-2015/","Germany, Baden-Württemberg")</f>
        <v>Germany, Baden-Württemberg</v>
      </c>
      <c r="C38" s="268">
        <v>3.3</v>
      </c>
      <c r="D38" s="268"/>
      <c r="E38" s="268"/>
      <c r="F38" s="269" t="s">
        <v>23</v>
      </c>
      <c r="G38" s="270" t="s">
        <v>23</v>
      </c>
      <c r="H38" s="271">
        <v>1</v>
      </c>
      <c r="I38" s="272">
        <v>1</v>
      </c>
      <c r="J38" s="272">
        <v>0</v>
      </c>
      <c r="K38" s="273" t="s">
        <v>23</v>
      </c>
    </row>
    <row r="39" spans="1:11" ht="12.3">
      <c r="A39" s="266">
        <v>42032</v>
      </c>
      <c r="B39" s="267" t="str">
        <f>HYPERLINK("http://earthquake-report.com/2015/01/28/minor-earthquake-england-united-kingdom-on-january-28-2015/","England, Rutland")</f>
        <v>England, Rutland</v>
      </c>
      <c r="C39" s="268">
        <v>3.8</v>
      </c>
      <c r="D39" s="268">
        <v>8</v>
      </c>
      <c r="E39" s="268"/>
      <c r="F39" s="269" t="s">
        <v>23</v>
      </c>
      <c r="G39" s="270" t="s">
        <v>23</v>
      </c>
      <c r="H39" s="271">
        <v>1</v>
      </c>
      <c r="I39" s="272">
        <v>1</v>
      </c>
      <c r="J39" s="272">
        <v>0</v>
      </c>
      <c r="K39" s="273" t="s">
        <v>23</v>
      </c>
    </row>
    <row r="40" spans="1:11" ht="12.3">
      <c r="A40" s="218">
        <v>42035</v>
      </c>
      <c r="B40" s="244" t="str">
        <f>HYPERLINK("http://earthquake-report.com/2015/01/31/moderate-earthquake-sinuapa-honduras-on-january-31-2015/","Honduras, Ocotepeque")</f>
        <v>Honduras, Ocotepeque</v>
      </c>
      <c r="C40" s="197">
        <v>4.5</v>
      </c>
      <c r="D40" s="197">
        <v>1</v>
      </c>
      <c r="E40" s="197"/>
      <c r="F40" s="184" t="s">
        <v>23</v>
      </c>
      <c r="G40" s="195" t="s">
        <v>23</v>
      </c>
      <c r="H40" s="235" t="s">
        <v>1478</v>
      </c>
      <c r="I40" s="221">
        <v>13</v>
      </c>
      <c r="J40" s="221">
        <v>0</v>
      </c>
      <c r="K40" s="191" t="s">
        <v>23</v>
      </c>
    </row>
    <row r="41" spans="1:11" ht="12.3">
      <c r="A41" s="266">
        <v>42035</v>
      </c>
      <c r="B41" s="277" t="str">
        <f>HYPERLINK("http://wp.me/p1bAUO-AOx","Nepal, Western")</f>
        <v>Nepal, Western</v>
      </c>
      <c r="C41" s="275">
        <v>5.5</v>
      </c>
      <c r="D41" s="268"/>
      <c r="E41" s="268"/>
      <c r="F41" s="269" t="s">
        <v>23</v>
      </c>
      <c r="G41" s="270">
        <v>1</v>
      </c>
      <c r="H41" s="271"/>
      <c r="I41" s="272"/>
      <c r="J41" s="272"/>
      <c r="K41" s="273" t="s">
        <v>23</v>
      </c>
    </row>
    <row r="42" spans="1:11" ht="12.3">
      <c r="A42" s="266">
        <v>42035</v>
      </c>
      <c r="B42" s="267" t="str">
        <f>HYPERLINK("http://earthquake-report.com/2015/01/31/earthquakes-in-the-world-on-january-31-2015-m2-9-or-more/","Croatia, Zagreb")</f>
        <v>Croatia, Zagreb</v>
      </c>
      <c r="C42" s="268">
        <v>2.9</v>
      </c>
      <c r="D42" s="268"/>
      <c r="E42" s="268" t="s">
        <v>684</v>
      </c>
      <c r="F42" s="269" t="s">
        <v>23</v>
      </c>
      <c r="G42" s="270" t="s">
        <v>23</v>
      </c>
      <c r="H42" s="271">
        <v>1</v>
      </c>
      <c r="I42" s="272">
        <v>0</v>
      </c>
      <c r="J42" s="272">
        <v>0</v>
      </c>
      <c r="K42" s="273" t="s">
        <v>23</v>
      </c>
    </row>
    <row r="43" spans="1:11" ht="12.3">
      <c r="A43" s="266">
        <v>42038</v>
      </c>
      <c r="B43" s="267" t="str">
        <f>HYPERLINK("http://earthquake-report.com/2015/02/03/moderate-earthquake-balticsbelarusnorthwestern-russia-reg-on-february-3-2015/","Ukraine, Poltawa")</f>
        <v>Ukraine, Poltawa</v>
      </c>
      <c r="C43" s="268">
        <v>4.5999999999999996</v>
      </c>
      <c r="D43" s="268"/>
      <c r="E43" s="268"/>
      <c r="F43" s="269" t="s">
        <v>23</v>
      </c>
      <c r="G43" s="270" t="s">
        <v>23</v>
      </c>
      <c r="H43" s="271">
        <v>2</v>
      </c>
      <c r="I43" s="272"/>
      <c r="J43" s="272">
        <v>0</v>
      </c>
      <c r="K43" s="273" t="s">
        <v>23</v>
      </c>
    </row>
    <row r="44" spans="1:11" ht="12.3">
      <c r="A44" s="266">
        <v>42038</v>
      </c>
      <c r="B44" s="267" t="str">
        <f>HYPERLINK("http://earthquake-report.com/2015/02/03/earthquakes-in-the-world-on-february-03-2015-m2-9-or-more/","Pakistan, Sindh")</f>
        <v>Pakistan, Sindh</v>
      </c>
      <c r="C44" s="268"/>
      <c r="D44" s="268"/>
      <c r="E44" s="268"/>
      <c r="F44" s="269" t="s">
        <v>23</v>
      </c>
      <c r="G44" s="270">
        <v>13</v>
      </c>
      <c r="H44" s="271"/>
      <c r="I44" s="272"/>
      <c r="J44" s="272"/>
      <c r="K44" s="273" t="s">
        <v>23</v>
      </c>
    </row>
    <row r="45" spans="1:11" ht="12.3">
      <c r="A45" s="266">
        <v>42039</v>
      </c>
      <c r="B45" s="267" t="str">
        <f>HYPERLINK("http://earthquake-report.com/2015/02/04/moderate-earthquake-xizang-on-february-4-2015/","China, Xizang")</f>
        <v>China, Xizang</v>
      </c>
      <c r="C45" s="268">
        <v>5.2</v>
      </c>
      <c r="D45" s="268">
        <v>10</v>
      </c>
      <c r="E45" s="268"/>
      <c r="F45" s="269" t="s">
        <v>23</v>
      </c>
      <c r="G45" s="270" t="s">
        <v>23</v>
      </c>
      <c r="H45" s="271">
        <v>2</v>
      </c>
      <c r="I45" s="272">
        <v>100</v>
      </c>
      <c r="J45" s="272">
        <v>0</v>
      </c>
      <c r="K45" s="273" t="s">
        <v>23</v>
      </c>
    </row>
    <row r="46" spans="1:11" ht="12.3">
      <c r="A46" s="218">
        <v>42039</v>
      </c>
      <c r="B46" s="196" t="s">
        <v>1776</v>
      </c>
      <c r="C46" s="197">
        <v>3.8</v>
      </c>
      <c r="D46" s="197">
        <v>13</v>
      </c>
      <c r="E46" s="197"/>
      <c r="F46" s="184" t="s">
        <v>23</v>
      </c>
      <c r="G46" s="195" t="s">
        <v>23</v>
      </c>
      <c r="H46" s="235" t="s">
        <v>1511</v>
      </c>
      <c r="I46" s="221">
        <v>200</v>
      </c>
      <c r="J46" s="221">
        <v>0</v>
      </c>
      <c r="K46" s="191" t="s">
        <v>23</v>
      </c>
    </row>
    <row r="47" spans="1:11" ht="12.3">
      <c r="A47" s="218">
        <v>42040</v>
      </c>
      <c r="B47" s="197" t="s">
        <v>1777</v>
      </c>
      <c r="C47" s="197">
        <v>2.2000000000000002</v>
      </c>
      <c r="D47" s="197"/>
      <c r="E47" s="197"/>
      <c r="F47" s="184" t="s">
        <v>23</v>
      </c>
      <c r="G47" s="195" t="s">
        <v>23</v>
      </c>
      <c r="H47" s="235">
        <v>1</v>
      </c>
      <c r="I47" s="221">
        <v>1</v>
      </c>
      <c r="J47" s="221">
        <v>0</v>
      </c>
      <c r="K47" s="191" t="s">
        <v>23</v>
      </c>
    </row>
    <row r="48" spans="1:11" ht="12.3">
      <c r="A48" s="218">
        <v>42040</v>
      </c>
      <c r="B48" s="244" t="str">
        <f>HYPERLINK("http://wp.me/p1bAUO-AUF","Venezuela, Táchira")</f>
        <v>Venezuela, Táchira</v>
      </c>
      <c r="C48" s="197">
        <v>5.2</v>
      </c>
      <c r="D48" s="197">
        <v>5</v>
      </c>
      <c r="E48" s="197" t="s">
        <v>35</v>
      </c>
      <c r="F48" s="184" t="s">
        <v>23</v>
      </c>
      <c r="G48" s="195" t="s">
        <v>23</v>
      </c>
      <c r="H48" s="235">
        <v>1</v>
      </c>
      <c r="I48" s="221">
        <v>1</v>
      </c>
      <c r="J48" s="221">
        <v>0</v>
      </c>
      <c r="K48" s="191" t="s">
        <v>23</v>
      </c>
    </row>
    <row r="49" spans="1:11" ht="12.3">
      <c r="A49" s="266">
        <v>42040</v>
      </c>
      <c r="B49" s="267" t="str">
        <f>HYPERLINK("http://earthquake-report.com/2015/02/05/moderate-earthquake-cherokee-oklahoma-on-february-5-2015/","USA, Oklahoma")</f>
        <v>USA, Oklahoma</v>
      </c>
      <c r="C49" s="268" t="s">
        <v>1652</v>
      </c>
      <c r="D49" s="268"/>
      <c r="E49" s="268"/>
      <c r="F49" s="269" t="s">
        <v>23</v>
      </c>
      <c r="G49" s="270" t="s">
        <v>23</v>
      </c>
      <c r="H49" s="271">
        <v>1</v>
      </c>
      <c r="I49" s="272">
        <v>1</v>
      </c>
      <c r="J49" s="272">
        <v>0</v>
      </c>
      <c r="K49" s="273" t="s">
        <v>23</v>
      </c>
    </row>
    <row r="50" spans="1:11" ht="12.3">
      <c r="A50" s="266">
        <v>42041</v>
      </c>
      <c r="B50" s="267" t="str">
        <f>HYPERLINK("http://earthquake-report.com/2015/02/06/moderate-earthquake-shikoku-japan-on-february-6-2015/","Japan, Tokushima")</f>
        <v>Japan, Tokushima</v>
      </c>
      <c r="C50" s="274">
        <v>5</v>
      </c>
      <c r="D50" s="268"/>
      <c r="E50" s="268" t="s">
        <v>1778</v>
      </c>
      <c r="F50" s="269" t="s">
        <v>23</v>
      </c>
      <c r="G50" s="270" t="s">
        <v>23</v>
      </c>
      <c r="H50" s="271" t="s">
        <v>1478</v>
      </c>
      <c r="I50" s="272">
        <v>1</v>
      </c>
      <c r="J50" s="272">
        <v>0</v>
      </c>
      <c r="K50" s="273" t="s">
        <v>23</v>
      </c>
    </row>
    <row r="51" spans="1:11" ht="12.3">
      <c r="A51" s="266">
        <v>42041</v>
      </c>
      <c r="B51" s="277" t="str">
        <f>HYPERLINK("http://earthquake-report.com/2015/02/06/moderate-earthquake-sichuan-guizhou-border-rg-china-on-february-6-2015/","China, Sichuan")</f>
        <v>China, Sichuan</v>
      </c>
      <c r="C51" s="268">
        <v>4.5</v>
      </c>
      <c r="D51" s="268"/>
      <c r="E51" s="268"/>
      <c r="F51" s="269" t="s">
        <v>23</v>
      </c>
      <c r="G51" s="270" t="s">
        <v>23</v>
      </c>
      <c r="H51" s="271" t="s">
        <v>1511</v>
      </c>
      <c r="I51" s="272">
        <v>3698</v>
      </c>
      <c r="J51" s="272">
        <v>0</v>
      </c>
      <c r="K51" s="273" t="s">
        <v>23</v>
      </c>
    </row>
    <row r="52" spans="1:11" ht="12.3">
      <c r="A52" s="266">
        <v>42042</v>
      </c>
      <c r="B52" s="268" t="s">
        <v>1779</v>
      </c>
      <c r="C52" s="268"/>
      <c r="D52" s="268"/>
      <c r="E52" s="268"/>
      <c r="F52" s="269" t="s">
        <v>23</v>
      </c>
      <c r="G52" s="270" t="s">
        <v>23</v>
      </c>
      <c r="H52" s="271">
        <v>1</v>
      </c>
      <c r="I52" s="272">
        <v>5</v>
      </c>
      <c r="J52" s="272">
        <v>0</v>
      </c>
      <c r="K52" s="273" t="s">
        <v>23</v>
      </c>
    </row>
    <row r="53" spans="1:11" ht="12.3">
      <c r="A53" s="266">
        <v>42042</v>
      </c>
      <c r="B53" s="267" t="str">
        <f>HYPERLINK("http://earthquake-report.com/2015/02/07/minor-earthquake-perry-oklahoma-on-february-7-2015/","USA, Oklahoma")</f>
        <v>USA, Oklahoma</v>
      </c>
      <c r="C53" s="268" t="s">
        <v>1780</v>
      </c>
      <c r="D53" s="268">
        <v>5</v>
      </c>
      <c r="E53" s="268" t="s">
        <v>1364</v>
      </c>
      <c r="F53" s="269" t="s">
        <v>23</v>
      </c>
      <c r="G53" s="270" t="s">
        <v>23</v>
      </c>
      <c r="H53" s="271">
        <v>1</v>
      </c>
      <c r="I53" s="272">
        <v>1</v>
      </c>
      <c r="J53" s="272">
        <v>0</v>
      </c>
      <c r="K53" s="273" t="s">
        <v>23</v>
      </c>
    </row>
    <row r="54" spans="1:11" ht="12.3">
      <c r="A54" s="266">
        <v>42043</v>
      </c>
      <c r="B54" s="277" t="str">
        <f>HYPERLINK("http://earthquake-report.com/2015/02/08/moderate-earthquake-sulawesi-indonesia-on-february-8-2015/","Indonesia, West Sulawesi")</f>
        <v>Indonesia, West Sulawesi</v>
      </c>
      <c r="C54" s="268">
        <v>5.4</v>
      </c>
      <c r="D54" s="268"/>
      <c r="E54" s="268" t="s">
        <v>35</v>
      </c>
      <c r="F54" s="269" t="s">
        <v>23</v>
      </c>
      <c r="G54" s="270" t="s">
        <v>23</v>
      </c>
      <c r="H54" s="271">
        <v>2</v>
      </c>
      <c r="I54" s="272">
        <v>3</v>
      </c>
      <c r="J54" s="272">
        <v>1</v>
      </c>
      <c r="K54" s="273" t="s">
        <v>23</v>
      </c>
    </row>
    <row r="55" spans="1:11" ht="12.3">
      <c r="A55" s="266">
        <v>42043</v>
      </c>
      <c r="B55" s="267" t="str">
        <f>HYPERLINK("http://earthquake-report.com/2015/02/08/moderate-earthquake-jilin-china-on-february-8-2015/","China, Jilin")</f>
        <v>China, Jilin</v>
      </c>
      <c r="C55" s="268">
        <v>4.3</v>
      </c>
      <c r="D55" s="268">
        <v>7</v>
      </c>
      <c r="E55" s="268"/>
      <c r="F55" s="269" t="s">
        <v>23</v>
      </c>
      <c r="G55" s="270" t="s">
        <v>23</v>
      </c>
      <c r="H55" s="271">
        <v>1</v>
      </c>
      <c r="I55" s="272">
        <v>1</v>
      </c>
      <c r="J55" s="272">
        <v>0</v>
      </c>
      <c r="K55" s="273" t="s">
        <v>23</v>
      </c>
    </row>
    <row r="56" spans="1:11" ht="12.3">
      <c r="A56" s="266">
        <v>42046</v>
      </c>
      <c r="B56" s="268" t="s">
        <v>1574</v>
      </c>
      <c r="C56" s="268">
        <v>4.0999999999999996</v>
      </c>
      <c r="D56" s="268"/>
      <c r="E56" s="268"/>
      <c r="F56" s="269" t="s">
        <v>23</v>
      </c>
      <c r="G56" s="270" t="s">
        <v>23</v>
      </c>
      <c r="H56" s="271" t="s">
        <v>1478</v>
      </c>
      <c r="I56" s="272">
        <v>10</v>
      </c>
      <c r="J56" s="272">
        <v>0</v>
      </c>
      <c r="K56" s="273" t="s">
        <v>23</v>
      </c>
    </row>
    <row r="57" spans="1:11" ht="12.3">
      <c r="A57" s="266">
        <v>42048</v>
      </c>
      <c r="B57" s="268" t="s">
        <v>1759</v>
      </c>
      <c r="C57" s="275">
        <v>6.1</v>
      </c>
      <c r="D57" s="268">
        <v>15</v>
      </c>
      <c r="E57" s="268" t="s">
        <v>1781</v>
      </c>
      <c r="F57" s="269" t="s">
        <v>23</v>
      </c>
      <c r="G57" s="270" t="s">
        <v>23</v>
      </c>
      <c r="H57" s="271">
        <v>1</v>
      </c>
      <c r="I57" s="272">
        <v>1</v>
      </c>
      <c r="J57" s="272">
        <v>0</v>
      </c>
      <c r="K57" s="273" t="s">
        <v>23</v>
      </c>
    </row>
    <row r="58" spans="1:11" ht="12.3">
      <c r="A58" s="266">
        <v>42050</v>
      </c>
      <c r="B58" s="268" t="s">
        <v>1782</v>
      </c>
      <c r="C58" s="268">
        <v>3.4</v>
      </c>
      <c r="D58" s="268">
        <v>3</v>
      </c>
      <c r="E58" s="268"/>
      <c r="F58" s="269" t="s">
        <v>23</v>
      </c>
      <c r="G58" s="270" t="s">
        <v>23</v>
      </c>
      <c r="H58" s="271">
        <v>1</v>
      </c>
      <c r="I58" s="272">
        <v>1</v>
      </c>
      <c r="J58" s="272">
        <v>0</v>
      </c>
      <c r="K58" s="273" t="s">
        <v>23</v>
      </c>
    </row>
    <row r="59" spans="1:11" ht="12.3">
      <c r="A59" s="266">
        <v>42050</v>
      </c>
      <c r="B59" s="275" t="s">
        <v>1783</v>
      </c>
      <c r="C59" s="268">
        <v>4.9000000000000004</v>
      </c>
      <c r="D59" s="268">
        <v>8</v>
      </c>
      <c r="E59" s="268"/>
      <c r="F59" s="269" t="s">
        <v>23</v>
      </c>
      <c r="G59" s="270">
        <v>3</v>
      </c>
      <c r="H59" s="271">
        <v>2</v>
      </c>
      <c r="I59" s="272">
        <v>20</v>
      </c>
      <c r="J59" s="272">
        <v>0</v>
      </c>
      <c r="K59" s="273" t="s">
        <v>23</v>
      </c>
    </row>
    <row r="60" spans="1:11" ht="12.3">
      <c r="A60" s="266">
        <v>42050</v>
      </c>
      <c r="B60" s="268" t="s">
        <v>1784</v>
      </c>
      <c r="C60" s="268">
        <v>5.0999999999999996</v>
      </c>
      <c r="D60" s="268">
        <v>15</v>
      </c>
      <c r="E60" s="268"/>
      <c r="F60" s="269" t="s">
        <v>23</v>
      </c>
      <c r="G60" s="270" t="s">
        <v>23</v>
      </c>
      <c r="H60" s="271">
        <v>1</v>
      </c>
      <c r="I60" s="272">
        <v>0</v>
      </c>
      <c r="J60" s="272">
        <v>0</v>
      </c>
      <c r="K60" s="273" t="s">
        <v>23</v>
      </c>
    </row>
    <row r="61" spans="1:11" ht="12.3">
      <c r="A61" s="266">
        <v>42051</v>
      </c>
      <c r="B61" s="268" t="s">
        <v>1785</v>
      </c>
      <c r="C61" s="268">
        <v>4.7</v>
      </c>
      <c r="D61" s="268">
        <v>5</v>
      </c>
      <c r="E61" s="268"/>
      <c r="F61" s="269" t="s">
        <v>23</v>
      </c>
      <c r="G61" s="270" t="s">
        <v>23</v>
      </c>
      <c r="H61" s="271">
        <v>2</v>
      </c>
      <c r="I61" s="272"/>
      <c r="J61" s="272">
        <v>0</v>
      </c>
      <c r="K61" s="273" t="s">
        <v>23</v>
      </c>
    </row>
    <row r="62" spans="1:11" ht="12.3">
      <c r="A62" s="266">
        <v>42051</v>
      </c>
      <c r="B62" s="268" t="s">
        <v>1786</v>
      </c>
      <c r="C62" s="275">
        <v>6.9</v>
      </c>
      <c r="D62" s="268"/>
      <c r="E62" s="268" t="s">
        <v>1787</v>
      </c>
      <c r="F62" s="269" t="s">
        <v>23</v>
      </c>
      <c r="G62" s="270" t="s">
        <v>23</v>
      </c>
      <c r="H62" s="271" t="s">
        <v>23</v>
      </c>
      <c r="I62" s="272">
        <v>0</v>
      </c>
      <c r="J62" s="272">
        <v>0</v>
      </c>
      <c r="K62" s="273" t="s">
        <v>1325</v>
      </c>
    </row>
    <row r="63" spans="1:11" ht="12.3">
      <c r="A63" s="266">
        <v>42053</v>
      </c>
      <c r="B63" s="268" t="s">
        <v>1618</v>
      </c>
      <c r="C63" s="268">
        <v>3.9</v>
      </c>
      <c r="D63" s="268">
        <v>7</v>
      </c>
      <c r="E63" s="268"/>
      <c r="F63" s="269" t="s">
        <v>23</v>
      </c>
      <c r="G63" s="270" t="s">
        <v>23</v>
      </c>
      <c r="H63" s="271">
        <v>1</v>
      </c>
      <c r="I63" s="272">
        <v>5</v>
      </c>
      <c r="J63" s="272">
        <v>0</v>
      </c>
      <c r="K63" s="273" t="s">
        <v>23</v>
      </c>
    </row>
    <row r="64" spans="1:11" ht="12.3">
      <c r="A64" s="266">
        <v>42054</v>
      </c>
      <c r="B64" s="268" t="s">
        <v>1651</v>
      </c>
      <c r="C64" s="268">
        <v>2.2999999999999998</v>
      </c>
      <c r="D64" s="268">
        <v>0</v>
      </c>
      <c r="E64" s="268"/>
      <c r="F64" s="269" t="s">
        <v>23</v>
      </c>
      <c r="G64" s="270" t="s">
        <v>23</v>
      </c>
      <c r="H64" s="271">
        <v>1</v>
      </c>
      <c r="I64" s="272"/>
      <c r="J64" s="272">
        <v>0</v>
      </c>
      <c r="K64" s="273" t="s">
        <v>23</v>
      </c>
    </row>
    <row r="65" spans="1:11" ht="12.3">
      <c r="A65" s="266">
        <v>42054</v>
      </c>
      <c r="B65" s="268" t="s">
        <v>1576</v>
      </c>
      <c r="C65" s="275">
        <v>6.5</v>
      </c>
      <c r="D65" s="268">
        <v>2</v>
      </c>
      <c r="E65" s="268" t="s">
        <v>123</v>
      </c>
      <c r="F65" s="269" t="s">
        <v>23</v>
      </c>
      <c r="G65" s="270"/>
      <c r="H65" s="271">
        <v>2</v>
      </c>
      <c r="I65" s="272"/>
      <c r="J65" s="272">
        <v>0</v>
      </c>
      <c r="K65" s="273" t="s">
        <v>1097</v>
      </c>
    </row>
    <row r="66" spans="1:11" ht="12.3">
      <c r="A66" s="266">
        <v>42055</v>
      </c>
      <c r="B66" s="267" t="str">
        <f>HYPERLINK("http://wp.me/p1bAUO-BbG","OS Thailand, Phang Nga")</f>
        <v>OS Thailand, Phang Nga</v>
      </c>
      <c r="C66" s="274">
        <v>4</v>
      </c>
      <c r="D66" s="268">
        <v>2</v>
      </c>
      <c r="E66" s="268"/>
      <c r="F66" s="269" t="s">
        <v>23</v>
      </c>
      <c r="G66" s="270" t="s">
        <v>23</v>
      </c>
      <c r="H66" s="271">
        <v>1</v>
      </c>
      <c r="I66" s="272">
        <v>1</v>
      </c>
      <c r="J66" s="272">
        <v>0</v>
      </c>
      <c r="K66" s="273" t="s">
        <v>23</v>
      </c>
    </row>
    <row r="67" spans="1:11" ht="12.3">
      <c r="A67" s="266">
        <v>42055</v>
      </c>
      <c r="B67" s="275" t="s">
        <v>1526</v>
      </c>
      <c r="C67" s="268">
        <v>4.4000000000000004</v>
      </c>
      <c r="D67" s="268">
        <v>6</v>
      </c>
      <c r="E67" s="268"/>
      <c r="F67" s="269" t="s">
        <v>23</v>
      </c>
      <c r="G67" s="270" t="s">
        <v>23</v>
      </c>
      <c r="H67" s="271" t="s">
        <v>1511</v>
      </c>
      <c r="I67" s="272">
        <v>3374</v>
      </c>
      <c r="J67" s="272">
        <v>0</v>
      </c>
      <c r="K67" s="273" t="s">
        <v>23</v>
      </c>
    </row>
    <row r="68" spans="1:11" ht="12.3">
      <c r="A68" s="279">
        <v>42056</v>
      </c>
      <c r="B68" s="282" t="s">
        <v>1788</v>
      </c>
      <c r="C68" s="282">
        <v>3.3</v>
      </c>
      <c r="D68" s="282">
        <v>2</v>
      </c>
      <c r="E68" s="282" t="s">
        <v>134</v>
      </c>
      <c r="F68" s="269">
        <v>4</v>
      </c>
      <c r="G68" s="287">
        <v>1</v>
      </c>
      <c r="H68" s="283">
        <v>1</v>
      </c>
      <c r="I68" s="284">
        <v>0</v>
      </c>
      <c r="J68" s="284">
        <v>0</v>
      </c>
      <c r="K68" s="285" t="s">
        <v>23</v>
      </c>
    </row>
    <row r="69" spans="1:11" ht="12.3">
      <c r="A69" s="266">
        <v>42057</v>
      </c>
      <c r="B69" s="275" t="s">
        <v>1481</v>
      </c>
      <c r="C69" s="274">
        <v>5</v>
      </c>
      <c r="D69" s="268">
        <v>4</v>
      </c>
      <c r="E69" s="268"/>
      <c r="F69" s="269" t="s">
        <v>23</v>
      </c>
      <c r="G69" s="270" t="s">
        <v>23</v>
      </c>
      <c r="H69" s="271" t="s">
        <v>1789</v>
      </c>
      <c r="I69" s="272">
        <v>1728</v>
      </c>
      <c r="J69" s="272">
        <v>0</v>
      </c>
      <c r="K69" s="273" t="s">
        <v>23</v>
      </c>
    </row>
    <row r="70" spans="1:11" ht="12.3">
      <c r="A70" s="266">
        <v>42057</v>
      </c>
      <c r="B70" s="268" t="s">
        <v>1790</v>
      </c>
      <c r="C70" s="275">
        <v>5.6</v>
      </c>
      <c r="D70" s="268">
        <v>146</v>
      </c>
      <c r="E70" s="268" t="s">
        <v>134</v>
      </c>
      <c r="F70" s="269" t="s">
        <v>23</v>
      </c>
      <c r="G70" s="270" t="s">
        <v>23</v>
      </c>
      <c r="H70" s="271">
        <v>2</v>
      </c>
      <c r="I70" s="272">
        <v>200</v>
      </c>
      <c r="J70" s="272">
        <v>0</v>
      </c>
      <c r="K70" s="273" t="s">
        <v>23</v>
      </c>
    </row>
    <row r="71" spans="1:11" ht="12.3">
      <c r="A71" s="266">
        <v>42058</v>
      </c>
      <c r="B71" s="268" t="s">
        <v>1791</v>
      </c>
      <c r="C71" s="268">
        <v>5.2</v>
      </c>
      <c r="D71" s="268">
        <v>14</v>
      </c>
      <c r="E71" s="268"/>
      <c r="F71" s="269" t="s">
        <v>23</v>
      </c>
      <c r="G71" s="270" t="s">
        <v>23</v>
      </c>
      <c r="H71" s="271">
        <v>2</v>
      </c>
      <c r="I71" s="272"/>
      <c r="J71" s="272">
        <v>0</v>
      </c>
      <c r="K71" s="273" t="s">
        <v>23</v>
      </c>
    </row>
    <row r="72" spans="1:11" ht="12.3">
      <c r="A72" s="266">
        <v>42060</v>
      </c>
      <c r="B72" s="268" t="s">
        <v>1792</v>
      </c>
      <c r="C72" s="268">
        <v>2.1</v>
      </c>
      <c r="D72" s="268"/>
      <c r="E72" s="268"/>
      <c r="F72" s="269" t="s">
        <v>23</v>
      </c>
      <c r="G72" s="270" t="s">
        <v>23</v>
      </c>
      <c r="H72" s="271">
        <v>1</v>
      </c>
      <c r="I72" s="272">
        <v>5</v>
      </c>
      <c r="J72" s="272">
        <v>0</v>
      </c>
      <c r="K72" s="273" t="s">
        <v>23</v>
      </c>
    </row>
    <row r="73" spans="1:11" ht="12.3">
      <c r="A73" s="266">
        <v>42060</v>
      </c>
      <c r="B73" s="275" t="s">
        <v>1793</v>
      </c>
      <c r="C73" s="268">
        <v>4.5999999999999996</v>
      </c>
      <c r="D73" s="268">
        <v>10</v>
      </c>
      <c r="E73" s="268"/>
      <c r="F73" s="269" t="s">
        <v>23</v>
      </c>
      <c r="G73" s="270" t="s">
        <v>23</v>
      </c>
      <c r="H73" s="271">
        <v>3</v>
      </c>
      <c r="I73" s="272"/>
      <c r="J73" s="272">
        <v>5</v>
      </c>
      <c r="K73" s="273" t="s">
        <v>23</v>
      </c>
    </row>
    <row r="74" spans="1:11" ht="12.3">
      <c r="A74" s="266">
        <v>42060</v>
      </c>
      <c r="B74" s="268" t="s">
        <v>1540</v>
      </c>
      <c r="C74" s="268" t="s">
        <v>1794</v>
      </c>
      <c r="D74" s="268">
        <v>3</v>
      </c>
      <c r="E74" s="268"/>
      <c r="F74" s="269" t="s">
        <v>23</v>
      </c>
      <c r="G74" s="270" t="s">
        <v>23</v>
      </c>
      <c r="H74" s="271">
        <v>1</v>
      </c>
      <c r="I74" s="272">
        <v>25</v>
      </c>
      <c r="J74" s="272">
        <v>0</v>
      </c>
      <c r="K74" s="273" t="s">
        <v>23</v>
      </c>
    </row>
    <row r="75" spans="1:11" ht="12.3">
      <c r="A75" s="266">
        <v>42061</v>
      </c>
      <c r="B75" s="275" t="s">
        <v>1795</v>
      </c>
      <c r="C75" s="275">
        <v>5.8</v>
      </c>
      <c r="D75" s="268">
        <v>32</v>
      </c>
      <c r="E75" s="268"/>
      <c r="F75" s="269" t="s">
        <v>23</v>
      </c>
      <c r="G75" s="270">
        <v>20</v>
      </c>
      <c r="H75" s="271" t="s">
        <v>1508</v>
      </c>
      <c r="I75" s="272"/>
      <c r="J75" s="272"/>
      <c r="K75" s="273" t="s">
        <v>23</v>
      </c>
    </row>
    <row r="76" spans="1:11" ht="12.3">
      <c r="A76" s="266">
        <v>42062</v>
      </c>
      <c r="B76" s="275" t="s">
        <v>1796</v>
      </c>
      <c r="C76" s="275">
        <v>7.1</v>
      </c>
      <c r="D76" s="268">
        <v>572</v>
      </c>
      <c r="E76" s="268"/>
      <c r="F76" s="269" t="s">
        <v>23</v>
      </c>
      <c r="G76" s="270" t="s">
        <v>23</v>
      </c>
      <c r="H76" s="271" t="s">
        <v>1511</v>
      </c>
      <c r="I76" s="272">
        <v>250</v>
      </c>
      <c r="J76" s="272">
        <v>0</v>
      </c>
      <c r="K76" s="273" t="s">
        <v>23</v>
      </c>
    </row>
    <row r="77" spans="1:11" ht="12.3">
      <c r="A77" s="266">
        <v>42063</v>
      </c>
      <c r="B77" s="275" t="s">
        <v>1797</v>
      </c>
      <c r="C77" s="268">
        <v>4.5</v>
      </c>
      <c r="D77" s="268"/>
      <c r="E77" s="268"/>
      <c r="F77" s="269" t="s">
        <v>23</v>
      </c>
      <c r="G77" s="270" t="s">
        <v>23</v>
      </c>
      <c r="H77" s="271" t="s">
        <v>1508</v>
      </c>
      <c r="I77" s="272">
        <v>560</v>
      </c>
      <c r="J77" s="272">
        <v>30</v>
      </c>
      <c r="K77" s="273" t="s">
        <v>23</v>
      </c>
    </row>
    <row r="78" spans="1:11" ht="12.3">
      <c r="A78" s="266">
        <v>42064</v>
      </c>
      <c r="B78" s="275" t="s">
        <v>1797</v>
      </c>
      <c r="C78" s="268">
        <v>4</v>
      </c>
      <c r="D78" s="268"/>
      <c r="E78" s="268"/>
      <c r="F78" s="269" t="s">
        <v>23</v>
      </c>
      <c r="G78" s="270">
        <v>1</v>
      </c>
      <c r="H78" s="271" t="s">
        <v>1511</v>
      </c>
      <c r="I78" s="272"/>
      <c r="J78" s="272">
        <v>0</v>
      </c>
      <c r="K78" s="273" t="s">
        <v>23</v>
      </c>
    </row>
    <row r="79" spans="1:11" ht="12.3">
      <c r="A79" s="266">
        <v>42064</v>
      </c>
      <c r="B79" s="275" t="s">
        <v>1526</v>
      </c>
      <c r="C79" s="275">
        <v>5.5</v>
      </c>
      <c r="D79" s="268">
        <v>11</v>
      </c>
      <c r="E79" s="268" t="s">
        <v>123</v>
      </c>
      <c r="F79" s="269" t="s">
        <v>23</v>
      </c>
      <c r="G79" s="270">
        <v>32</v>
      </c>
      <c r="H79" s="271">
        <v>4</v>
      </c>
      <c r="I79" s="272">
        <v>64278</v>
      </c>
      <c r="J79" s="272">
        <v>103</v>
      </c>
      <c r="K79" s="273" t="s">
        <v>23</v>
      </c>
    </row>
    <row r="80" spans="1:11" ht="12.3">
      <c r="A80" s="266">
        <v>42065</v>
      </c>
      <c r="B80" s="268" t="s">
        <v>1797</v>
      </c>
      <c r="C80" s="268">
        <v>3.9</v>
      </c>
      <c r="D80" s="268"/>
      <c r="E80" s="268"/>
      <c r="F80" s="269" t="s">
        <v>23</v>
      </c>
      <c r="G80" s="270" t="s">
        <v>23</v>
      </c>
      <c r="H80" s="271" t="s">
        <v>1478</v>
      </c>
      <c r="I80" s="272"/>
      <c r="J80" s="272">
        <v>0</v>
      </c>
      <c r="K80" s="273" t="s">
        <v>23</v>
      </c>
    </row>
    <row r="81" spans="1:11" ht="12.3">
      <c r="A81" s="266">
        <v>42066</v>
      </c>
      <c r="B81" s="275" t="s">
        <v>1798</v>
      </c>
      <c r="C81" s="268">
        <v>4.5</v>
      </c>
      <c r="D81" s="268">
        <v>10</v>
      </c>
      <c r="E81" s="268"/>
      <c r="F81" s="269" t="s">
        <v>23</v>
      </c>
      <c r="G81" s="270">
        <v>18</v>
      </c>
      <c r="H81" s="271">
        <v>2</v>
      </c>
      <c r="I81" s="272"/>
      <c r="J81" s="272">
        <v>0</v>
      </c>
      <c r="K81" s="273" t="s">
        <v>23</v>
      </c>
    </row>
    <row r="82" spans="1:11" ht="12.3">
      <c r="A82" s="266">
        <v>42069</v>
      </c>
      <c r="B82" s="268" t="s">
        <v>1799</v>
      </c>
      <c r="C82" s="268">
        <v>4.0999999999999996</v>
      </c>
      <c r="D82" s="268"/>
      <c r="E82" s="268"/>
      <c r="F82" s="269" t="s">
        <v>23</v>
      </c>
      <c r="G82" s="270" t="s">
        <v>23</v>
      </c>
      <c r="H82" s="271" t="s">
        <v>1478</v>
      </c>
      <c r="I82" s="272">
        <v>0</v>
      </c>
      <c r="J82" s="272">
        <v>1</v>
      </c>
      <c r="K82" s="273" t="s">
        <v>23</v>
      </c>
    </row>
    <row r="83" spans="1:11" ht="12.3">
      <c r="A83" s="266">
        <v>42071</v>
      </c>
      <c r="B83" s="268" t="s">
        <v>1800</v>
      </c>
      <c r="C83" s="268">
        <v>4.5999999999999996</v>
      </c>
      <c r="D83" s="268">
        <v>3</v>
      </c>
      <c r="E83" s="268" t="s">
        <v>35</v>
      </c>
      <c r="F83" s="269" t="s">
        <v>23</v>
      </c>
      <c r="G83" s="270" t="s">
        <v>23</v>
      </c>
      <c r="H83" s="271">
        <v>2</v>
      </c>
      <c r="I83" s="272">
        <v>100</v>
      </c>
      <c r="J83" s="272">
        <v>0</v>
      </c>
      <c r="K83" s="273" t="s">
        <v>23</v>
      </c>
    </row>
    <row r="84" spans="1:11" ht="12.3">
      <c r="A84" s="266">
        <v>42072</v>
      </c>
      <c r="B84" s="275" t="s">
        <v>1526</v>
      </c>
      <c r="C84" s="268">
        <v>4.5</v>
      </c>
      <c r="D84" s="268">
        <v>12</v>
      </c>
      <c r="E84" s="268"/>
      <c r="F84" s="269" t="s">
        <v>23</v>
      </c>
      <c r="G84" s="270">
        <v>4</v>
      </c>
      <c r="H84" s="271">
        <v>3</v>
      </c>
      <c r="I84" s="272">
        <v>100</v>
      </c>
      <c r="J84" s="272">
        <v>1</v>
      </c>
      <c r="K84" s="273" t="s">
        <v>23</v>
      </c>
    </row>
    <row r="85" spans="1:11" ht="12.3">
      <c r="A85" s="288">
        <v>42073</v>
      </c>
      <c r="B85" s="277" t="str">
        <f>HYPERLINK("http://earthquake-report.com/2015/03/10/very-strong-earthquake-northern-colombia-on-march-10-2015/","Colombia, Santander")</f>
        <v>Colombia, Santander</v>
      </c>
      <c r="C85" s="275">
        <v>6.6</v>
      </c>
      <c r="D85" s="275">
        <v>161</v>
      </c>
      <c r="E85" s="275"/>
      <c r="F85" s="269" t="s">
        <v>23</v>
      </c>
      <c r="G85" s="270">
        <v>9</v>
      </c>
      <c r="H85" s="289" t="s">
        <v>1653</v>
      </c>
      <c r="I85" s="290"/>
      <c r="J85" s="290">
        <v>205</v>
      </c>
      <c r="K85" s="291" t="s">
        <v>23</v>
      </c>
    </row>
    <row r="86" spans="1:11" ht="12.3">
      <c r="A86" s="266">
        <v>42075</v>
      </c>
      <c r="B86" s="275" t="s">
        <v>1797</v>
      </c>
      <c r="C86" s="268">
        <v>3.5</v>
      </c>
      <c r="D86" s="268"/>
      <c r="E86" s="268"/>
      <c r="F86" s="269" t="s">
        <v>23</v>
      </c>
      <c r="G86" s="270" t="s">
        <v>23</v>
      </c>
      <c r="H86" s="271" t="s">
        <v>1511</v>
      </c>
      <c r="I86" s="272">
        <v>35</v>
      </c>
      <c r="J86" s="272">
        <v>0</v>
      </c>
      <c r="K86" s="273" t="s">
        <v>23</v>
      </c>
    </row>
    <row r="87" spans="1:11" ht="12.3">
      <c r="A87" s="279">
        <v>42077</v>
      </c>
      <c r="B87" s="280" t="str">
        <f>HYPERLINK("http://earthquake-report.com/2015/03/14/moderate-earthquake-henan-anhui-border-region-china-on-march-14-2015/","China, Anhui")</f>
        <v>China, Anhui</v>
      </c>
      <c r="C87" s="282">
        <v>4.3</v>
      </c>
      <c r="D87" s="282">
        <v>10</v>
      </c>
      <c r="E87" s="282" t="s">
        <v>35</v>
      </c>
      <c r="F87" s="269">
        <v>2</v>
      </c>
      <c r="G87" s="287">
        <v>13</v>
      </c>
      <c r="H87" s="283">
        <v>4</v>
      </c>
      <c r="I87" s="284">
        <v>11079</v>
      </c>
      <c r="J87" s="284">
        <v>155</v>
      </c>
      <c r="K87" s="285" t="s">
        <v>23</v>
      </c>
    </row>
    <row r="88" spans="1:11" ht="12.3">
      <c r="A88" s="266">
        <v>42078</v>
      </c>
      <c r="B88" s="268" t="s">
        <v>1553</v>
      </c>
      <c r="C88" s="268">
        <v>2.4</v>
      </c>
      <c r="D88" s="268">
        <v>7</v>
      </c>
      <c r="E88" s="268"/>
      <c r="F88" s="269" t="s">
        <v>23</v>
      </c>
      <c r="G88" s="270" t="s">
        <v>23</v>
      </c>
      <c r="H88" s="271">
        <v>2</v>
      </c>
      <c r="I88" s="272"/>
      <c r="J88" s="272">
        <v>0</v>
      </c>
      <c r="K88" s="292" t="s">
        <v>23</v>
      </c>
    </row>
    <row r="89" spans="1:11" ht="12.3">
      <c r="A89" s="266">
        <v>42078</v>
      </c>
      <c r="B89" s="268" t="s">
        <v>1801</v>
      </c>
      <c r="C89" s="268">
        <v>2.8</v>
      </c>
      <c r="D89" s="268">
        <v>3</v>
      </c>
      <c r="E89" s="268"/>
      <c r="F89" s="269" t="s">
        <v>23</v>
      </c>
      <c r="G89" s="270" t="s">
        <v>23</v>
      </c>
      <c r="H89" s="271">
        <v>1</v>
      </c>
      <c r="I89" s="272">
        <v>0</v>
      </c>
      <c r="J89" s="272">
        <v>0</v>
      </c>
      <c r="K89" s="292" t="s">
        <v>23</v>
      </c>
    </row>
    <row r="90" spans="1:11" ht="12.3">
      <c r="A90" s="266">
        <v>42078</v>
      </c>
      <c r="B90" s="268" t="s">
        <v>1802</v>
      </c>
      <c r="C90" s="268">
        <v>2.8</v>
      </c>
      <c r="D90" s="268">
        <v>5</v>
      </c>
      <c r="E90" s="268" t="s">
        <v>684</v>
      </c>
      <c r="F90" s="269" t="s">
        <v>23</v>
      </c>
      <c r="G90" s="270" t="s">
        <v>23</v>
      </c>
      <c r="H90" s="271">
        <v>1</v>
      </c>
      <c r="I90" s="272">
        <v>1</v>
      </c>
      <c r="J90" s="272">
        <v>0</v>
      </c>
      <c r="K90" s="273" t="s">
        <v>23</v>
      </c>
    </row>
    <row r="91" spans="1:11" ht="12.3">
      <c r="A91" s="266">
        <v>42078</v>
      </c>
      <c r="B91" s="268" t="s">
        <v>1716</v>
      </c>
      <c r="C91" s="268">
        <v>3.4</v>
      </c>
      <c r="D91" s="268">
        <v>0</v>
      </c>
      <c r="E91" s="268"/>
      <c r="F91" s="269" t="s">
        <v>23</v>
      </c>
      <c r="G91" s="270" t="s">
        <v>23</v>
      </c>
      <c r="H91" s="271">
        <v>1</v>
      </c>
      <c r="I91" s="272">
        <v>1</v>
      </c>
      <c r="J91" s="272">
        <v>0</v>
      </c>
      <c r="K91" s="273" t="s">
        <v>23</v>
      </c>
    </row>
    <row r="92" spans="1:11" ht="12.3">
      <c r="A92" s="266">
        <v>42078</v>
      </c>
      <c r="B92" s="275" t="s">
        <v>1803</v>
      </c>
      <c r="C92" s="275">
        <v>6.1</v>
      </c>
      <c r="D92" s="268"/>
      <c r="E92" s="268"/>
      <c r="F92" s="269" t="s">
        <v>23</v>
      </c>
      <c r="G92" s="270" t="s">
        <v>23</v>
      </c>
      <c r="H92" s="271" t="s">
        <v>1511</v>
      </c>
      <c r="I92" s="272"/>
      <c r="J92" s="272">
        <v>0</v>
      </c>
      <c r="K92" s="273" t="s">
        <v>23</v>
      </c>
    </row>
    <row r="93" spans="1:11" ht="12.3">
      <c r="A93" s="266">
        <v>42079</v>
      </c>
      <c r="B93" s="268" t="s">
        <v>1804</v>
      </c>
      <c r="C93" s="268">
        <v>4</v>
      </c>
      <c r="D93" s="268">
        <v>5</v>
      </c>
      <c r="E93" s="268"/>
      <c r="F93" s="269" t="s">
        <v>23</v>
      </c>
      <c r="G93" s="270" t="s">
        <v>23</v>
      </c>
      <c r="H93" s="271">
        <v>1</v>
      </c>
      <c r="I93" s="272"/>
      <c r="J93" s="272">
        <v>0</v>
      </c>
      <c r="K93" s="273" t="s">
        <v>23</v>
      </c>
    </row>
    <row r="94" spans="1:11" ht="12.3">
      <c r="A94" s="266">
        <v>42081</v>
      </c>
      <c r="B94" s="268" t="s">
        <v>1805</v>
      </c>
      <c r="C94" s="268">
        <v>4.8</v>
      </c>
      <c r="D94" s="268">
        <v>45</v>
      </c>
      <c r="E94" s="268"/>
      <c r="F94" s="269" t="s">
        <v>23</v>
      </c>
      <c r="G94" s="270" t="s">
        <v>23</v>
      </c>
      <c r="H94" s="271" t="s">
        <v>1478</v>
      </c>
      <c r="I94" s="272"/>
      <c r="J94" s="272">
        <v>0</v>
      </c>
      <c r="K94" s="273" t="s">
        <v>23</v>
      </c>
    </row>
    <row r="95" spans="1:11" ht="12.3">
      <c r="A95" s="266">
        <v>42081</v>
      </c>
      <c r="B95" s="268" t="s">
        <v>1806</v>
      </c>
      <c r="C95" s="268">
        <v>3.9</v>
      </c>
      <c r="D95" s="268"/>
      <c r="E95" s="268"/>
      <c r="F95" s="269" t="s">
        <v>23</v>
      </c>
      <c r="G95" s="270" t="s">
        <v>23</v>
      </c>
      <c r="H95" s="271">
        <v>1</v>
      </c>
      <c r="I95" s="272">
        <v>1</v>
      </c>
      <c r="J95" s="272">
        <v>0</v>
      </c>
      <c r="K95" s="273" t="s">
        <v>23</v>
      </c>
    </row>
    <row r="96" spans="1:11" ht="12.3">
      <c r="A96" s="266">
        <v>42083</v>
      </c>
      <c r="B96" s="268" t="s">
        <v>1529</v>
      </c>
      <c r="C96" s="268">
        <v>5.4</v>
      </c>
      <c r="D96" s="268">
        <v>65</v>
      </c>
      <c r="E96" s="268"/>
      <c r="F96" s="269" t="s">
        <v>23</v>
      </c>
      <c r="G96" s="270" t="s">
        <v>23</v>
      </c>
      <c r="H96" s="271">
        <v>1</v>
      </c>
      <c r="I96" s="272">
        <v>1</v>
      </c>
      <c r="J96" s="272">
        <v>0</v>
      </c>
      <c r="K96" s="273" t="s">
        <v>23</v>
      </c>
    </row>
    <row r="97" spans="1:11" ht="12.3">
      <c r="A97" s="266">
        <v>42084</v>
      </c>
      <c r="B97" s="267" t="str">
        <f>HYPERLINK("http://earthquake-report.com/2015/03/21/moderate-earthquake-northern-algeria-on-march-21-2015-2/","Algeria, Batna")</f>
        <v>Algeria, Batna</v>
      </c>
      <c r="C97" s="268">
        <v>4.8</v>
      </c>
      <c r="D97" s="268"/>
      <c r="E97" s="268"/>
      <c r="F97" s="269" t="s">
        <v>23</v>
      </c>
      <c r="G97" s="270" t="s">
        <v>23</v>
      </c>
      <c r="H97" s="271">
        <v>2</v>
      </c>
      <c r="I97" s="272">
        <v>50</v>
      </c>
      <c r="J97" s="272">
        <v>0</v>
      </c>
      <c r="K97" s="273" t="s">
        <v>23</v>
      </c>
    </row>
    <row r="98" spans="1:11" ht="12.3">
      <c r="A98" s="266">
        <v>42085</v>
      </c>
      <c r="B98" s="267" t="str">
        <f>HYPERLINK("http://earthquake-report.com/2015/03/22/earthquakes-in-the-world-on-march-22-2015-m2-9-or-more/","China, Anhui (aftershock)")</f>
        <v>China, Anhui (aftershock)</v>
      </c>
      <c r="C98" s="268">
        <v>3.6</v>
      </c>
      <c r="D98" s="268">
        <v>10</v>
      </c>
      <c r="E98" s="268"/>
      <c r="F98" s="269" t="s">
        <v>23</v>
      </c>
      <c r="G98" s="270" t="s">
        <v>23</v>
      </c>
      <c r="H98" s="271" t="s">
        <v>1478</v>
      </c>
      <c r="I98" s="272">
        <v>10</v>
      </c>
      <c r="J98" s="272">
        <v>0</v>
      </c>
      <c r="K98" s="273" t="s">
        <v>23</v>
      </c>
    </row>
    <row r="99" spans="1:11" ht="12.3">
      <c r="A99" s="266">
        <v>42085</v>
      </c>
      <c r="B99" s="267" t="str">
        <f>HYPERLINK("http://earthquake-report.com/2015/03/22/earthquakes-in-the-world-on-march-22-2015-m2-9-or-more/","China, Guizhou")</f>
        <v>China, Guizhou</v>
      </c>
      <c r="C99" s="268">
        <v>3.3</v>
      </c>
      <c r="D99" s="268">
        <v>8</v>
      </c>
      <c r="E99" s="268"/>
      <c r="F99" s="269" t="s">
        <v>23</v>
      </c>
      <c r="G99" s="270" t="s">
        <v>23</v>
      </c>
      <c r="H99" s="271" t="s">
        <v>1478</v>
      </c>
      <c r="I99" s="272">
        <v>10</v>
      </c>
      <c r="J99" s="272">
        <v>0</v>
      </c>
      <c r="K99" s="273" t="s">
        <v>23</v>
      </c>
    </row>
    <row r="100" spans="1:11" ht="12.3">
      <c r="A100" s="266">
        <v>42086</v>
      </c>
      <c r="B100" s="267" t="str">
        <f>HYPERLINK("http://earthquake-report.com/2015/03/23/very-strong-earthquake-northern-chile-on-march-23-2015/","Chile, Arica")</f>
        <v>Chile, Arica</v>
      </c>
      <c r="C100" s="275">
        <v>6.4</v>
      </c>
      <c r="D100" s="268">
        <v>121</v>
      </c>
      <c r="E100" s="268" t="s">
        <v>123</v>
      </c>
      <c r="F100" s="269" t="s">
        <v>23</v>
      </c>
      <c r="G100" s="270" t="s">
        <v>23</v>
      </c>
      <c r="H100" s="271">
        <v>1</v>
      </c>
      <c r="I100" s="272"/>
      <c r="J100" s="272">
        <v>0</v>
      </c>
      <c r="K100" s="273" t="s">
        <v>23</v>
      </c>
    </row>
    <row r="101" spans="1:11" ht="12.3">
      <c r="A101" s="266">
        <v>42086</v>
      </c>
      <c r="B101" s="267" t="str">
        <f>HYPERLINK("http://earthquake-report.com/2015/03/23/earthquakes-in-the-world-on-march-23-2015-m2-9-or-more/","India, Uttar Pradesh")</f>
        <v>India, Uttar Pradesh</v>
      </c>
      <c r="C101" s="268">
        <v>3</v>
      </c>
      <c r="D101" s="268"/>
      <c r="E101" s="268" t="s">
        <v>684</v>
      </c>
      <c r="F101" s="269" t="s">
        <v>23</v>
      </c>
      <c r="G101" s="270" t="s">
        <v>23</v>
      </c>
      <c r="H101" s="271" t="s">
        <v>1478</v>
      </c>
      <c r="I101" s="272">
        <v>10</v>
      </c>
      <c r="J101" s="272">
        <v>0</v>
      </c>
      <c r="K101" s="273" t="s">
        <v>23</v>
      </c>
    </row>
    <row r="102" spans="1:11" ht="12.3">
      <c r="A102" s="266">
        <v>42087</v>
      </c>
      <c r="B102" s="267" t="str">
        <f>HYPERLINK("http://earthquake-report.com/2015/03/24/earthquakes-in-the-world-on-march-24-2015-m2-9-or-more/","Netherlands, Groningen")</f>
        <v>Netherlands, Groningen</v>
      </c>
      <c r="C102" s="268" t="s">
        <v>1794</v>
      </c>
      <c r="D102" s="268"/>
      <c r="E102" s="268"/>
      <c r="F102" s="269" t="s">
        <v>23</v>
      </c>
      <c r="G102" s="270" t="s">
        <v>23</v>
      </c>
      <c r="H102" s="271" t="s">
        <v>1478</v>
      </c>
      <c r="I102" s="272">
        <v>156</v>
      </c>
      <c r="J102" s="272">
        <v>0</v>
      </c>
      <c r="K102" s="273" t="s">
        <v>23</v>
      </c>
    </row>
    <row r="103" spans="1:11" ht="12.3">
      <c r="A103" s="266">
        <v>42087</v>
      </c>
      <c r="B103" s="277" t="str">
        <f>HYPERLINK("http://earthquake-report.com/2015/03/24/earthquakes-in-the-world-on-march-24-2015-m2-9-or-more/","Pakistan, Sindh")</f>
        <v>Pakistan, Sindh</v>
      </c>
      <c r="C103" s="268">
        <v>3.4</v>
      </c>
      <c r="D103" s="268"/>
      <c r="E103" s="268"/>
      <c r="F103" s="269" t="s">
        <v>23</v>
      </c>
      <c r="G103" s="270">
        <v>8</v>
      </c>
      <c r="H103" s="271">
        <v>3</v>
      </c>
      <c r="I103" s="272"/>
      <c r="J103" s="272">
        <v>2</v>
      </c>
      <c r="K103" s="273" t="s">
        <v>23</v>
      </c>
    </row>
    <row r="104" spans="1:11" ht="12.3">
      <c r="A104" s="266">
        <v>42089</v>
      </c>
      <c r="B104" s="267" t="str">
        <f>HYPERLINK("http://earthquake-report.com/2015/03/26/earthquakes-in-the-world-on-march-26-2015-m2-9-or-more/","Brazil, Ceara")</f>
        <v>Brazil, Ceara</v>
      </c>
      <c r="C104" s="268">
        <v>3</v>
      </c>
      <c r="D104" s="268"/>
      <c r="E104" s="268"/>
      <c r="F104" s="269" t="s">
        <v>23</v>
      </c>
      <c r="G104" s="270" t="s">
        <v>23</v>
      </c>
      <c r="H104" s="271" t="s">
        <v>1478</v>
      </c>
      <c r="I104" s="272"/>
      <c r="J104" s="272">
        <v>0</v>
      </c>
      <c r="K104" s="273" t="s">
        <v>23</v>
      </c>
    </row>
    <row r="105" spans="1:11" ht="12.3">
      <c r="A105" s="266">
        <v>42089</v>
      </c>
      <c r="B105" s="267" t="str">
        <f>HYPERLINK("http://earthquake-report.com/2015/03/26/moderate-earthquake-sumbawa-region-indonesia-on-march-26-2015/","Indonesia, Bali")</f>
        <v>Indonesia, Bali</v>
      </c>
      <c r="C105" s="268">
        <v>4.0999999999999996</v>
      </c>
      <c r="D105" s="268">
        <v>10</v>
      </c>
      <c r="E105" s="268"/>
      <c r="F105" s="269" t="s">
        <v>23</v>
      </c>
      <c r="G105" s="270" t="s">
        <v>23</v>
      </c>
      <c r="H105" s="271" t="s">
        <v>1478</v>
      </c>
      <c r="I105" s="272"/>
      <c r="J105" s="272">
        <v>0</v>
      </c>
      <c r="K105" s="273" t="s">
        <v>23</v>
      </c>
    </row>
    <row r="106" spans="1:11" ht="12.3">
      <c r="A106" s="266">
        <v>42092</v>
      </c>
      <c r="B106" s="267" t="str">
        <f>HYPERLINK("http://earthquake-report.com/2015/03/29/minor-earthquake-hungary-on-march-29-2015/","Hungary, Borsod-Abaúj-Zemplén")</f>
        <v>Hungary, Borsod-Abaúj-Zemplén</v>
      </c>
      <c r="C106" s="268">
        <v>3.2</v>
      </c>
      <c r="D106" s="268"/>
      <c r="E106" s="268"/>
      <c r="F106" s="269" t="s">
        <v>23</v>
      </c>
      <c r="G106" s="270" t="s">
        <v>23</v>
      </c>
      <c r="H106" s="271" t="s">
        <v>1478</v>
      </c>
      <c r="I106" s="272">
        <v>3</v>
      </c>
      <c r="J106" s="272">
        <v>0</v>
      </c>
      <c r="K106" s="273" t="s">
        <v>23</v>
      </c>
    </row>
    <row r="107" spans="1:11" ht="12.3">
      <c r="A107" s="266">
        <v>42092</v>
      </c>
      <c r="B107" s="267" t="str">
        <f>HYPERLINK("http://wp.me/p1bAUO-BU5","OS Papua New Guinea, New Britain")</f>
        <v>OS Papua New Guinea, New Britain</v>
      </c>
      <c r="C107" s="275">
        <v>7.5</v>
      </c>
      <c r="D107" s="268">
        <v>30</v>
      </c>
      <c r="E107" s="268" t="s">
        <v>123</v>
      </c>
      <c r="F107" s="269" t="s">
        <v>23</v>
      </c>
      <c r="G107" s="270" t="s">
        <v>23</v>
      </c>
      <c r="H107" s="271">
        <v>1</v>
      </c>
      <c r="I107" s="272"/>
      <c r="J107" s="272">
        <v>0</v>
      </c>
      <c r="K107" s="273" t="s">
        <v>1807</v>
      </c>
    </row>
    <row r="108" spans="1:11" ht="12.3">
      <c r="A108" s="266">
        <v>42093</v>
      </c>
      <c r="B108" s="277" t="str">
        <f>HYPERLINK("http://earthquake-report.com/2015/03/30/moderate-earthquake-southeastern-china-on-march-30-2015/","China, Guizhou")</f>
        <v>China, Guizhou</v>
      </c>
      <c r="C108" s="275">
        <v>5.5</v>
      </c>
      <c r="D108" s="268">
        <v>7</v>
      </c>
      <c r="E108" s="268" t="s">
        <v>123</v>
      </c>
      <c r="F108" s="269" t="s">
        <v>23</v>
      </c>
      <c r="G108" s="270">
        <v>4</v>
      </c>
      <c r="H108" s="271">
        <v>3</v>
      </c>
      <c r="I108" s="272">
        <v>3100</v>
      </c>
      <c r="J108" s="272">
        <v>0</v>
      </c>
      <c r="K108" s="273" t="s">
        <v>23</v>
      </c>
    </row>
    <row r="109" spans="1:11" ht="12.3">
      <c r="A109" s="266">
        <v>42093</v>
      </c>
      <c r="B109" s="267" t="str">
        <f>HYPERLINK("http://earthquake-report.com/2015/03/30/moderate-earthquake-leyte-philippines-on-march-30-2015/","Philippines, Bohol (aftershock)")</f>
        <v>Philippines, Bohol (aftershock)</v>
      </c>
      <c r="C109" s="268">
        <v>4.9000000000000004</v>
      </c>
      <c r="D109" s="268">
        <v>7</v>
      </c>
      <c r="E109" s="268"/>
      <c r="F109" s="269" t="s">
        <v>23</v>
      </c>
      <c r="G109" s="270" t="s">
        <v>23</v>
      </c>
      <c r="H109" s="271">
        <v>1</v>
      </c>
      <c r="I109" s="272">
        <v>1</v>
      </c>
      <c r="J109" s="272">
        <v>0</v>
      </c>
      <c r="K109" s="273" t="s">
        <v>23</v>
      </c>
    </row>
    <row r="110" spans="1:11" ht="12.3">
      <c r="A110" s="266">
        <v>42094</v>
      </c>
      <c r="B110" s="267" t="str">
        <f>HYPERLINK("http://earthquake-report.com/2015/03/31/earthquakes-in-the-world-on-march-31-2015-m2-9-or-more/","Peru, Arequipa  ")</f>
        <v xml:space="preserve">Peru, Arequipa  </v>
      </c>
      <c r="C110" s="268">
        <v>3.5</v>
      </c>
      <c r="D110" s="268"/>
      <c r="E110" s="268"/>
      <c r="F110" s="269" t="s">
        <v>23</v>
      </c>
      <c r="G110" s="270" t="s">
        <v>23</v>
      </c>
      <c r="H110" s="271">
        <v>1</v>
      </c>
      <c r="I110" s="272">
        <v>2</v>
      </c>
      <c r="J110" s="272">
        <v>0</v>
      </c>
      <c r="K110" s="273" t="s">
        <v>23</v>
      </c>
    </row>
    <row r="111" spans="1:11" ht="12.3">
      <c r="A111" s="266">
        <v>42095</v>
      </c>
      <c r="B111" s="277" t="str">
        <f>HYPERLINK("http://earthquake-report.com/2015/04/01/moderate-earthquake-western-xizang-india-border-reg-on-april-1-2015/","India, Uttarakhand")</f>
        <v>India, Uttarakhand</v>
      </c>
      <c r="C111" s="268">
        <v>5.0999999999999996</v>
      </c>
      <c r="D111" s="268"/>
      <c r="E111" s="268"/>
      <c r="F111" s="269" t="s">
        <v>23</v>
      </c>
      <c r="G111" s="270">
        <v>8</v>
      </c>
      <c r="H111" s="271">
        <v>3</v>
      </c>
      <c r="I111" s="272"/>
      <c r="J111" s="272"/>
      <c r="K111" s="273" t="s">
        <v>23</v>
      </c>
    </row>
    <row r="112" spans="1:11" ht="12.3">
      <c r="A112" s="266">
        <v>42096</v>
      </c>
      <c r="B112" s="267" t="str">
        <f>HYPERLINK("http://earthquake-report.com/2015/04/02/moderate-earthquake-southern-sumatra-indonesia-on-april-2-2015/","OS Indonesia, Bengkulu")</f>
        <v>OS Indonesia, Bengkulu</v>
      </c>
      <c r="C112" s="268">
        <v>5.0999999999999996</v>
      </c>
      <c r="D112" s="268"/>
      <c r="E112" s="268"/>
      <c r="F112" s="269" t="s">
        <v>23</v>
      </c>
      <c r="G112" s="270" t="s">
        <v>23</v>
      </c>
      <c r="H112" s="271">
        <v>1</v>
      </c>
      <c r="I112" s="272">
        <v>1</v>
      </c>
      <c r="J112" s="272">
        <v>0</v>
      </c>
      <c r="K112" s="273" t="s">
        <v>23</v>
      </c>
    </row>
    <row r="113" spans="1:11" ht="12.3">
      <c r="A113" s="266">
        <v>42101</v>
      </c>
      <c r="B113" s="267" t="str">
        <f>HYPERLINK("http://earthquake-report.com/2015/04/07/moderate-earthquake-xizang-on-april-7-2015/","China, Xizang")</f>
        <v>China, Xizang</v>
      </c>
      <c r="C113" s="268">
        <v>4.9000000000000004</v>
      </c>
      <c r="D113" s="268">
        <v>10</v>
      </c>
      <c r="E113" s="268"/>
      <c r="F113" s="269" t="s">
        <v>23</v>
      </c>
      <c r="G113" s="270" t="s">
        <v>23</v>
      </c>
      <c r="H113" s="271">
        <v>2</v>
      </c>
      <c r="I113" s="272">
        <v>100</v>
      </c>
      <c r="J113" s="272">
        <v>0</v>
      </c>
      <c r="K113" s="273" t="s">
        <v>23</v>
      </c>
    </row>
    <row r="114" spans="1:11" ht="12.3">
      <c r="A114" s="266">
        <v>42102</v>
      </c>
      <c r="B114" s="267" t="str">
        <f>HYPERLINK("http://earthquake-report.com/2015/04/08/moderate-earthquake-guthrie-oklahoma-on-april-8-2015/","USA, Oklahoma")</f>
        <v>USA, Oklahoma</v>
      </c>
      <c r="C114" s="268" t="s">
        <v>1652</v>
      </c>
      <c r="D114" s="268">
        <v>5</v>
      </c>
      <c r="E114" s="268" t="s">
        <v>35</v>
      </c>
      <c r="F114" s="269" t="s">
        <v>23</v>
      </c>
      <c r="G114" s="270" t="s">
        <v>23</v>
      </c>
      <c r="H114" s="271">
        <v>1</v>
      </c>
      <c r="I114" s="272">
        <v>1</v>
      </c>
      <c r="J114" s="272">
        <v>0</v>
      </c>
      <c r="K114" s="273" t="s">
        <v>23</v>
      </c>
    </row>
    <row r="115" spans="1:11" ht="12.3">
      <c r="A115" s="266">
        <v>42105</v>
      </c>
      <c r="B115" s="267" t="str">
        <f>HYPERLINK("http://earthquake-report.com/2015/04/11/moderate-earthquake-northern-colombia-on-april-11-2015/","Colombia, Santander")</f>
        <v>Colombia, Santander</v>
      </c>
      <c r="C115" s="268">
        <v>4.5999999999999996</v>
      </c>
      <c r="D115" s="268">
        <v>9</v>
      </c>
      <c r="E115" s="268"/>
      <c r="F115" s="269" t="s">
        <v>23</v>
      </c>
      <c r="G115" s="270" t="s">
        <v>23</v>
      </c>
      <c r="H115" s="271">
        <v>2</v>
      </c>
      <c r="I115" s="272">
        <v>52</v>
      </c>
      <c r="J115" s="272">
        <v>0</v>
      </c>
      <c r="K115" s="273" t="s">
        <v>23</v>
      </c>
    </row>
    <row r="116" spans="1:11" ht="12.3">
      <c r="A116" s="266">
        <v>42106</v>
      </c>
      <c r="B116" s="277" t="str">
        <f>HYPERLINK("http://earthquake-report.com/2015/04/12/moderate-earthquake-gerash-iran-on-april-12-2015/","Iran, Hormozgan")</f>
        <v>Iran, Hormozgan</v>
      </c>
      <c r="C116" s="268">
        <v>4.8</v>
      </c>
      <c r="D116" s="268">
        <v>10</v>
      </c>
      <c r="E116" s="268"/>
      <c r="F116" s="269" t="s">
        <v>23</v>
      </c>
      <c r="G116" s="270" t="s">
        <v>23</v>
      </c>
      <c r="H116" s="271" t="s">
        <v>1511</v>
      </c>
      <c r="I116" s="272"/>
      <c r="J116" s="272">
        <v>0</v>
      </c>
      <c r="K116" s="273" t="s">
        <v>23</v>
      </c>
    </row>
    <row r="117" spans="1:11" ht="12.3">
      <c r="A117" s="266">
        <v>42107</v>
      </c>
      <c r="B117" s="277" t="str">
        <f>HYPERLINK("http://earthquake-report.com/2015/04/13/moderate-earthquake-yunnan-china-on-april-13-2015/","China, Yunnan")</f>
        <v>China, Yunnan</v>
      </c>
      <c r="C117" s="268">
        <v>4.8</v>
      </c>
      <c r="D117" s="268">
        <v>6</v>
      </c>
      <c r="E117" s="268"/>
      <c r="F117" s="269" t="s">
        <v>23</v>
      </c>
      <c r="G117" s="270">
        <v>1</v>
      </c>
      <c r="H117" s="271">
        <v>2</v>
      </c>
      <c r="I117" s="272"/>
      <c r="J117" s="272">
        <v>0</v>
      </c>
      <c r="K117" s="273" t="s">
        <v>23</v>
      </c>
    </row>
    <row r="118" spans="1:11" ht="12.3">
      <c r="A118" s="266">
        <v>42108</v>
      </c>
      <c r="B118" s="267" t="str">
        <f>HYPERLINK("http://earthquake-report.com/2015/04/14/earthquakes-in-the-world-on-april-14-2015-m2-9-or-more-2/","China. Guizhou")</f>
        <v>China. Guizhou</v>
      </c>
      <c r="C118" s="268">
        <v>2.4</v>
      </c>
      <c r="D118" s="268"/>
      <c r="E118" s="268"/>
      <c r="F118" s="269" t="s">
        <v>23</v>
      </c>
      <c r="G118" s="270" t="s">
        <v>23</v>
      </c>
      <c r="H118" s="271" t="s">
        <v>1478</v>
      </c>
      <c r="I118" s="272"/>
      <c r="J118" s="272">
        <v>0</v>
      </c>
      <c r="K118" s="273" t="s">
        <v>23</v>
      </c>
    </row>
    <row r="119" spans="1:11" ht="12.3">
      <c r="A119" s="279">
        <v>42109</v>
      </c>
      <c r="B119" s="280" t="str">
        <f>HYPERLINK("http://earthquake-report.com/2015/04/15/moderate-earthquake-yangzhuang-china-on-april-15-2015/","China, Gansu")</f>
        <v>China, Gansu</v>
      </c>
      <c r="C119" s="282">
        <v>4.5</v>
      </c>
      <c r="D119" s="282">
        <v>9</v>
      </c>
      <c r="E119" s="282"/>
      <c r="F119" s="269">
        <v>1</v>
      </c>
      <c r="G119" s="287">
        <v>15</v>
      </c>
      <c r="H119" s="283" t="s">
        <v>1653</v>
      </c>
      <c r="I119" s="284">
        <v>21951</v>
      </c>
      <c r="J119" s="284">
        <v>182</v>
      </c>
      <c r="K119" s="285" t="s">
        <v>23</v>
      </c>
    </row>
    <row r="120" spans="1:11" ht="12.3">
      <c r="A120" s="266">
        <v>42109</v>
      </c>
      <c r="B120" s="277" t="str">
        <f>HYPERLINK("http://earthquake-report.com/2015/04/15/moderate-earthquake-western-nei-mongol-china-on-april-15-2015/","China, Nei Mongol")</f>
        <v>China, Nei Mongol</v>
      </c>
      <c r="C120" s="275">
        <v>5.8</v>
      </c>
      <c r="D120" s="268">
        <v>10</v>
      </c>
      <c r="E120" s="268" t="s">
        <v>123</v>
      </c>
      <c r="F120" s="269" t="s">
        <v>23</v>
      </c>
      <c r="G120" s="270" t="s">
        <v>23</v>
      </c>
      <c r="H120" s="271">
        <v>3</v>
      </c>
      <c r="I120" s="272">
        <v>494</v>
      </c>
      <c r="J120" s="272">
        <v>1</v>
      </c>
      <c r="K120" s="273" t="s">
        <v>23</v>
      </c>
    </row>
    <row r="121" spans="1:11" ht="12.3">
      <c r="A121" s="266">
        <v>42109</v>
      </c>
      <c r="B121" s="267" t="str">
        <f>HYPERLINK("http://wp.me/p1bAUO-CdT","Cyprus, Paphos")</f>
        <v>Cyprus, Paphos</v>
      </c>
      <c r="C121" s="275">
        <v>5.5</v>
      </c>
      <c r="D121" s="268">
        <v>30</v>
      </c>
      <c r="E121" s="268" t="s">
        <v>365</v>
      </c>
      <c r="F121" s="269" t="s">
        <v>23</v>
      </c>
      <c r="G121" s="270" t="s">
        <v>23</v>
      </c>
      <c r="H121" s="271" t="s">
        <v>1478</v>
      </c>
      <c r="I121" s="272">
        <v>10</v>
      </c>
      <c r="J121" s="272">
        <v>0</v>
      </c>
      <c r="K121" s="273" t="s">
        <v>23</v>
      </c>
    </row>
    <row r="122" spans="1:11" ht="12.3">
      <c r="A122" s="266">
        <v>42109</v>
      </c>
      <c r="B122" s="267" t="str">
        <f>HYPERLINK("http://earthquake-report.com/2015/04/15/earthquakes-in-the-world-on-april-15-2015-m2-9-or-more/","Brazil, Ceara")</f>
        <v>Brazil, Ceara</v>
      </c>
      <c r="C122" s="268">
        <v>2.5</v>
      </c>
      <c r="D122" s="268"/>
      <c r="E122" s="268"/>
      <c r="F122" s="269" t="s">
        <v>23</v>
      </c>
      <c r="G122" s="270" t="s">
        <v>23</v>
      </c>
      <c r="H122" s="271">
        <v>1</v>
      </c>
      <c r="I122" s="272">
        <v>5</v>
      </c>
      <c r="J122" s="272">
        <v>0</v>
      </c>
      <c r="K122" s="273" t="s">
        <v>23</v>
      </c>
    </row>
    <row r="123" spans="1:11" ht="12.3">
      <c r="A123" s="266">
        <v>42110</v>
      </c>
      <c r="B123" s="267" t="str">
        <f>HYPERLINK("http://earthquake-report.com/2015/04/16/minor-earthquake-germany-on-april-16-2015/","Germany, Saxonia-Anhalt")</f>
        <v>Germany, Saxonia-Anhalt</v>
      </c>
      <c r="C123" s="268">
        <v>3.3</v>
      </c>
      <c r="D123" s="268">
        <v>21</v>
      </c>
      <c r="E123" s="268"/>
      <c r="F123" s="269" t="s">
        <v>23</v>
      </c>
      <c r="G123" s="270" t="s">
        <v>23</v>
      </c>
      <c r="H123" s="271">
        <v>1</v>
      </c>
      <c r="I123" s="272">
        <v>2</v>
      </c>
      <c r="J123" s="272">
        <v>0</v>
      </c>
      <c r="K123" s="273" t="s">
        <v>23</v>
      </c>
    </row>
    <row r="124" spans="1:11" ht="12.3">
      <c r="A124" s="279">
        <v>42111</v>
      </c>
      <c r="B124" s="280" t="str">
        <f>HYPERLINK("http://wp.me/p1bAUO-Cht","Poland, Silesia")</f>
        <v>Poland, Silesia</v>
      </c>
      <c r="C124" s="282" t="s">
        <v>1472</v>
      </c>
      <c r="D124" s="282">
        <v>1</v>
      </c>
      <c r="E124" s="282"/>
      <c r="F124" s="269">
        <v>2</v>
      </c>
      <c r="G124" s="287" t="s">
        <v>23</v>
      </c>
      <c r="H124" s="283">
        <v>1</v>
      </c>
      <c r="I124" s="284">
        <v>1</v>
      </c>
      <c r="J124" s="284">
        <v>0</v>
      </c>
      <c r="K124" s="285" t="s">
        <v>23</v>
      </c>
    </row>
    <row r="125" spans="1:11" ht="12.3">
      <c r="A125" s="279">
        <v>42114</v>
      </c>
      <c r="B125" s="280" t="str">
        <f>HYPERLINK("http://wp.me/p1bAUO-CjR","OS Taiwan, Yilan")</f>
        <v>OS Taiwan, Yilan</v>
      </c>
      <c r="C125" s="282">
        <v>6.3</v>
      </c>
      <c r="D125" s="282"/>
      <c r="E125" s="282">
        <v>4</v>
      </c>
      <c r="F125" s="269">
        <v>1</v>
      </c>
      <c r="G125" s="287">
        <v>1</v>
      </c>
      <c r="H125" s="283" t="s">
        <v>1478</v>
      </c>
      <c r="I125" s="284">
        <v>1</v>
      </c>
      <c r="J125" s="284">
        <v>1</v>
      </c>
      <c r="K125" s="285" t="s">
        <v>23</v>
      </c>
    </row>
    <row r="126" spans="1:11" ht="12.3">
      <c r="A126" s="266">
        <v>42115</v>
      </c>
      <c r="B126" s="267" t="str">
        <f>HYPERLINK("http://earthquake-report.com/2015/04/21/minor-earthquake-western-iran-on-april-21-2015/","Iran, Kohgiluyeh va Boyer Ahmad")</f>
        <v>Iran, Kohgiluyeh va Boyer Ahmad</v>
      </c>
      <c r="C126" s="268">
        <v>3.7</v>
      </c>
      <c r="D126" s="268">
        <v>10</v>
      </c>
      <c r="E126" s="268"/>
      <c r="F126" s="269" t="s">
        <v>23</v>
      </c>
      <c r="G126" s="270" t="s">
        <v>23</v>
      </c>
      <c r="H126" s="271" t="s">
        <v>1478</v>
      </c>
      <c r="I126" s="272">
        <v>10</v>
      </c>
      <c r="J126" s="272">
        <v>0</v>
      </c>
      <c r="K126" s="273" t="s">
        <v>23</v>
      </c>
    </row>
    <row r="127" spans="1:11" ht="12.3">
      <c r="A127" s="279">
        <v>42119</v>
      </c>
      <c r="B127" s="280" t="str">
        <f>HYPERLINK("http://wp.me/p1bAUO-Cqr","Nepal, Western")</f>
        <v>Nepal, Western</v>
      </c>
      <c r="C127" s="282">
        <v>7.8</v>
      </c>
      <c r="D127" s="282">
        <v>20</v>
      </c>
      <c r="E127" s="282" t="s">
        <v>687</v>
      </c>
      <c r="F127" s="269">
        <v>9124</v>
      </c>
      <c r="G127" s="287">
        <v>23790</v>
      </c>
      <c r="H127" s="283" t="s">
        <v>1808</v>
      </c>
      <c r="I127" s="284">
        <v>300000</v>
      </c>
      <c r="J127" s="284">
        <v>800000</v>
      </c>
      <c r="K127" s="285" t="s">
        <v>23</v>
      </c>
    </row>
    <row r="128" spans="1:11" ht="12.3">
      <c r="A128" s="266">
        <v>42119</v>
      </c>
      <c r="B128" s="267" t="str">
        <f>HYPERLINK("http://wp.me/p1bAUO-Cqr","China, Xizang (aftershock Nepal)")</f>
        <v>China, Xizang (aftershock Nepal)</v>
      </c>
      <c r="C128" s="275">
        <v>5.9</v>
      </c>
      <c r="D128" s="268">
        <v>20</v>
      </c>
      <c r="E128" s="268"/>
      <c r="F128" s="269" t="s">
        <v>23</v>
      </c>
      <c r="G128" s="270" t="s">
        <v>23</v>
      </c>
      <c r="H128" s="271">
        <v>2</v>
      </c>
      <c r="I128" s="272">
        <v>50</v>
      </c>
      <c r="J128" s="272">
        <v>0</v>
      </c>
      <c r="K128" s="273" t="s">
        <v>23</v>
      </c>
    </row>
    <row r="129" spans="1:11" ht="12.3">
      <c r="A129" s="279">
        <v>42120</v>
      </c>
      <c r="B129" s="280" t="str">
        <f>HYPERLINK("http://wp.me/p1bAUO-Cqr","Nepal, Central (aftershock)")</f>
        <v>Nepal, Central (aftershock)</v>
      </c>
      <c r="C129" s="282">
        <v>6.7</v>
      </c>
      <c r="D129" s="282"/>
      <c r="E129" s="282" t="s">
        <v>123</v>
      </c>
      <c r="F129" s="269">
        <v>8</v>
      </c>
      <c r="G129" s="287">
        <v>83</v>
      </c>
      <c r="H129" s="283">
        <v>4</v>
      </c>
      <c r="I129" s="284"/>
      <c r="J129" s="284"/>
      <c r="K129" s="285" t="s">
        <v>23</v>
      </c>
    </row>
    <row r="130" spans="1:11" ht="12.3">
      <c r="A130" s="279">
        <v>42121</v>
      </c>
      <c r="B130" s="280" t="str">
        <f>HYPERLINK("http://wp.me/p1bAUO-CyS","Nepal, Eastern")</f>
        <v>Nepal, Eastern</v>
      </c>
      <c r="C130" s="282">
        <v>5.0999999999999996</v>
      </c>
      <c r="D130" s="282">
        <v>10</v>
      </c>
      <c r="E130" s="282"/>
      <c r="F130" s="269">
        <v>1</v>
      </c>
      <c r="G130" s="287"/>
      <c r="H130" s="283" t="s">
        <v>1511</v>
      </c>
      <c r="I130" s="284"/>
      <c r="J130" s="284">
        <v>0</v>
      </c>
      <c r="K130" s="285" t="s">
        <v>23</v>
      </c>
    </row>
    <row r="131" spans="1:11" ht="12.3">
      <c r="A131" s="266">
        <v>42122</v>
      </c>
      <c r="B131" s="277" t="str">
        <f>HYPERLINK("http://wp.me/p1bAUO-CBg","Ecuador, Guayas (Guayaquil area)")</f>
        <v>Ecuador, Guayas (Guayaquil area)</v>
      </c>
      <c r="C131" s="275">
        <v>5.8</v>
      </c>
      <c r="D131" s="268">
        <v>71</v>
      </c>
      <c r="E131" s="268" t="s">
        <v>134</v>
      </c>
      <c r="F131" s="269" t="s">
        <v>23</v>
      </c>
      <c r="G131" s="270">
        <v>2</v>
      </c>
      <c r="H131" s="271">
        <v>2</v>
      </c>
      <c r="I131" s="272"/>
      <c r="J131" s="272">
        <v>0</v>
      </c>
      <c r="K131" s="273" t="s">
        <v>23</v>
      </c>
    </row>
    <row r="132" spans="1:11" ht="12.3">
      <c r="A132" s="266">
        <v>42122</v>
      </c>
      <c r="B132" s="267" t="str">
        <f>HYPERLINK("http://wp.me/p1bAUO-CCl","Mexico, Oaxaca")</f>
        <v>Mexico, Oaxaca</v>
      </c>
      <c r="C132" s="275">
        <v>5.5</v>
      </c>
      <c r="D132" s="268">
        <v>113</v>
      </c>
      <c r="E132" s="268"/>
      <c r="F132" s="269" t="s">
        <v>23</v>
      </c>
      <c r="G132" s="270" t="s">
        <v>23</v>
      </c>
      <c r="H132" s="271">
        <v>1</v>
      </c>
      <c r="I132" s="272">
        <v>2</v>
      </c>
      <c r="J132" s="272">
        <v>0</v>
      </c>
      <c r="K132" s="273" t="s">
        <v>23</v>
      </c>
    </row>
    <row r="133" spans="1:11" ht="12.3">
      <c r="A133" s="266">
        <v>42122</v>
      </c>
      <c r="B133" s="268" t="s">
        <v>1601</v>
      </c>
      <c r="C133" s="268" t="s">
        <v>1505</v>
      </c>
      <c r="D133" s="268">
        <v>1</v>
      </c>
      <c r="E133" s="268"/>
      <c r="F133" s="269" t="s">
        <v>23</v>
      </c>
      <c r="G133" s="270" t="s">
        <v>23</v>
      </c>
      <c r="H133" s="271">
        <v>1</v>
      </c>
      <c r="I133" s="272">
        <v>10</v>
      </c>
      <c r="J133" s="272">
        <v>0</v>
      </c>
      <c r="K133" s="273" t="s">
        <v>23</v>
      </c>
    </row>
    <row r="134" spans="1:11" ht="12.3">
      <c r="A134" s="266">
        <v>42123</v>
      </c>
      <c r="B134" s="277" t="str">
        <f>HYPERLINK("http://earthquake-report.com/2015/04/29/moderate-earthquake-southern-iran-on-april-29-2015/","Iran, Fars")</f>
        <v>Iran, Fars</v>
      </c>
      <c r="C134" s="268">
        <v>4.9000000000000004</v>
      </c>
      <c r="D134" s="268">
        <v>10</v>
      </c>
      <c r="E134" s="268"/>
      <c r="F134" s="269" t="s">
        <v>23</v>
      </c>
      <c r="G134" s="270">
        <v>14</v>
      </c>
      <c r="H134" s="271" t="s">
        <v>1511</v>
      </c>
      <c r="I134" s="272"/>
      <c r="J134" s="272">
        <v>0</v>
      </c>
      <c r="K134" s="273" t="s">
        <v>23</v>
      </c>
    </row>
    <row r="135" spans="1:11" ht="12.3">
      <c r="A135" s="266">
        <v>42123</v>
      </c>
      <c r="B135" s="268" t="s">
        <v>1607</v>
      </c>
      <c r="C135" s="268" t="s">
        <v>1608</v>
      </c>
      <c r="D135" s="268">
        <v>1</v>
      </c>
      <c r="E135" s="268"/>
      <c r="F135" s="269" t="s">
        <v>23</v>
      </c>
      <c r="G135" s="270" t="s">
        <v>23</v>
      </c>
      <c r="H135" s="271">
        <v>1</v>
      </c>
      <c r="I135" s="272"/>
      <c r="J135" s="272">
        <v>0</v>
      </c>
      <c r="K135" s="273" t="s">
        <v>23</v>
      </c>
    </row>
    <row r="136" spans="1:11" ht="12.3">
      <c r="A136" s="266">
        <v>42124</v>
      </c>
      <c r="B136" s="267" t="str">
        <f>HYPERLINK("http://earthquake-report.com/2015/04/30/very-strong-earthquake-new-britain-region-p-n-g-on-april-30-2015/","Papua New Guinea, New Britain")</f>
        <v>Papua New Guinea, New Britain</v>
      </c>
      <c r="C136" s="275">
        <v>6.7</v>
      </c>
      <c r="D136" s="268">
        <v>48</v>
      </c>
      <c r="E136" s="268" t="s">
        <v>123</v>
      </c>
      <c r="F136" s="269" t="s">
        <v>23</v>
      </c>
      <c r="G136" s="270" t="s">
        <v>23</v>
      </c>
      <c r="H136" s="271" t="s">
        <v>1478</v>
      </c>
      <c r="I136" s="272"/>
      <c r="J136" s="272">
        <v>0</v>
      </c>
      <c r="K136" s="273" t="s">
        <v>23</v>
      </c>
    </row>
    <row r="137" spans="1:11" ht="12.3">
      <c r="A137" s="266">
        <v>42125</v>
      </c>
      <c r="B137" s="277" t="str">
        <f>HYPERLINK("http://wp.me/p1bAUO-CHo","Papua New Guinea, New Britain")</f>
        <v>Papua New Guinea, New Britain</v>
      </c>
      <c r="C137" s="275">
        <v>6.8</v>
      </c>
      <c r="D137" s="268">
        <v>57</v>
      </c>
      <c r="E137" s="268" t="s">
        <v>123</v>
      </c>
      <c r="F137" s="269" t="s">
        <v>23</v>
      </c>
      <c r="G137" s="270" t="s">
        <v>23</v>
      </c>
      <c r="H137" s="271">
        <v>3</v>
      </c>
      <c r="I137" s="272"/>
      <c r="J137" s="272"/>
      <c r="K137" s="273" t="s">
        <v>1097</v>
      </c>
    </row>
    <row r="138" spans="1:11" ht="12.3">
      <c r="A138" s="279">
        <v>42126</v>
      </c>
      <c r="B138" s="280" t="str">
        <f>HYPERLINK("http://earthquake-report.com/2015/05/02/moderate-earthquake-nepal-on-may-2-2015/","Nepal, Western (aftershock)")</f>
        <v>Nepal, Western (aftershock)</v>
      </c>
      <c r="C138" s="282">
        <v>5.0999999999999996</v>
      </c>
      <c r="D138" s="282"/>
      <c r="E138" s="282"/>
      <c r="F138" s="269">
        <v>4</v>
      </c>
      <c r="G138" s="287">
        <v>1</v>
      </c>
      <c r="H138" s="283">
        <v>3</v>
      </c>
      <c r="I138" s="284"/>
      <c r="J138" s="284"/>
      <c r="K138" s="285" t="s">
        <v>23</v>
      </c>
    </row>
    <row r="139" spans="1:11" ht="12.3">
      <c r="A139" s="266">
        <v>42126</v>
      </c>
      <c r="B139" s="267" t="str">
        <f>HYPERLINK("http://earthquake-report.com/2015/05/02/moderate-earthquake-galesburg-michigan-on-may-2-2015/","USA, Michigan")</f>
        <v>USA, Michigan</v>
      </c>
      <c r="C139" s="268">
        <v>4.2</v>
      </c>
      <c r="D139" s="268">
        <v>6</v>
      </c>
      <c r="E139" s="268"/>
      <c r="F139" s="269" t="s">
        <v>23</v>
      </c>
      <c r="G139" s="270" t="s">
        <v>23</v>
      </c>
      <c r="H139" s="271">
        <v>2</v>
      </c>
      <c r="I139" s="272"/>
      <c r="J139" s="272">
        <v>0</v>
      </c>
      <c r="K139" s="273" t="s">
        <v>23</v>
      </c>
    </row>
    <row r="140" spans="1:11" ht="12.3">
      <c r="A140" s="266">
        <v>42126</v>
      </c>
      <c r="B140" s="267" t="str">
        <f>HYPERLINK("http://earthquake-report.com/2015/05/02/strong-earthquake-izu-islands-japan-region-on-may-2-2015/","OS Japan, Tokyo")</f>
        <v>OS Japan, Tokyo</v>
      </c>
      <c r="C140" s="275">
        <v>5.9</v>
      </c>
      <c r="D140" s="268">
        <v>2</v>
      </c>
      <c r="E140" s="268" t="s">
        <v>1809</v>
      </c>
      <c r="F140" s="269" t="s">
        <v>23</v>
      </c>
      <c r="G140" s="270" t="s">
        <v>23</v>
      </c>
      <c r="H140" s="271" t="s">
        <v>23</v>
      </c>
      <c r="I140" s="272">
        <v>0</v>
      </c>
      <c r="J140" s="272">
        <v>0</v>
      </c>
      <c r="K140" s="273" t="s">
        <v>1807</v>
      </c>
    </row>
    <row r="141" spans="1:11" ht="12.3">
      <c r="A141" s="266">
        <v>42128</v>
      </c>
      <c r="B141" s="267" t="str">
        <f>HYPERLINK("http://wp.me/p1bAUO-CNH","New Zealand, Otago")</f>
        <v>New Zealand, Otago</v>
      </c>
      <c r="C141" s="268">
        <v>5.8</v>
      </c>
      <c r="D141" s="268"/>
      <c r="E141" s="268"/>
      <c r="F141" s="269" t="s">
        <v>23</v>
      </c>
      <c r="G141" s="270" t="s">
        <v>23</v>
      </c>
      <c r="H141" s="271">
        <v>1</v>
      </c>
      <c r="I141" s="272">
        <v>0</v>
      </c>
      <c r="J141" s="272">
        <v>0</v>
      </c>
      <c r="K141" s="273" t="s">
        <v>23</v>
      </c>
    </row>
    <row r="142" spans="1:11" ht="12.3">
      <c r="A142" s="266">
        <v>42129</v>
      </c>
      <c r="B142" s="277" t="str">
        <f>HYPERLINK("http://wp.me/p1bAUO-CPN","Papua New Guinea, New Britain")</f>
        <v>Papua New Guinea, New Britain</v>
      </c>
      <c r="C142" s="275">
        <v>7.5</v>
      </c>
      <c r="D142" s="268">
        <v>42</v>
      </c>
      <c r="E142" s="268" t="s">
        <v>363</v>
      </c>
      <c r="F142" s="269" t="s">
        <v>23</v>
      </c>
      <c r="G142" s="270" t="s">
        <v>23</v>
      </c>
      <c r="H142" s="271" t="s">
        <v>1511</v>
      </c>
      <c r="I142" s="272"/>
      <c r="J142" s="272">
        <v>0</v>
      </c>
      <c r="K142" s="273" t="s">
        <v>1097</v>
      </c>
    </row>
    <row r="143" spans="1:11" ht="12.3">
      <c r="A143" s="266">
        <v>42129</v>
      </c>
      <c r="B143" s="277" t="str">
        <f>HYPERLINK("http://earthquake-report.com/2015/05/05/moderate-earthquake-northern-and-central-iran-on-may-5-2015/","Iran, Razavi-Chorasan")</f>
        <v>Iran, Razavi-Chorasan</v>
      </c>
      <c r="C143" s="268">
        <v>5.2</v>
      </c>
      <c r="D143" s="268">
        <v>10</v>
      </c>
      <c r="E143" s="268"/>
      <c r="F143" s="269" t="s">
        <v>23</v>
      </c>
      <c r="G143" s="270">
        <v>64</v>
      </c>
      <c r="H143" s="271" t="s">
        <v>1511</v>
      </c>
      <c r="I143" s="272"/>
      <c r="J143" s="272">
        <v>0</v>
      </c>
      <c r="K143" s="273" t="s">
        <v>23</v>
      </c>
    </row>
    <row r="144" spans="1:11" ht="12.3">
      <c r="A144" s="266">
        <v>42129</v>
      </c>
      <c r="B144" s="267" t="str">
        <f>HYPERLINK("http://earthquake-report.com/2015/05/05/moderate-earthquake-ko-yao-yai-thailand-on-may-5-2015/","OS Thailand, Phuket")</f>
        <v>OS Thailand, Phuket</v>
      </c>
      <c r="C144" s="268">
        <v>4.5999999999999996</v>
      </c>
      <c r="D144" s="268">
        <v>10</v>
      </c>
      <c r="E144" s="268"/>
      <c r="F144" s="269" t="s">
        <v>23</v>
      </c>
      <c r="G144" s="270" t="s">
        <v>23</v>
      </c>
      <c r="H144" s="271">
        <v>1</v>
      </c>
      <c r="I144" s="272">
        <v>1</v>
      </c>
      <c r="J144" s="272">
        <v>0</v>
      </c>
      <c r="K144" s="273" t="s">
        <v>23</v>
      </c>
    </row>
    <row r="145" spans="1:11" ht="12.3">
      <c r="A145" s="279">
        <v>42129</v>
      </c>
      <c r="B145" s="282" t="s">
        <v>1524</v>
      </c>
      <c r="C145" s="281">
        <v>4</v>
      </c>
      <c r="D145" s="282"/>
      <c r="E145" s="282"/>
      <c r="F145" s="269">
        <v>1</v>
      </c>
      <c r="G145" s="287" t="s">
        <v>23</v>
      </c>
      <c r="H145" s="283">
        <v>1</v>
      </c>
      <c r="I145" s="284"/>
      <c r="J145" s="284">
        <v>0</v>
      </c>
      <c r="K145" s="285" t="s">
        <v>23</v>
      </c>
    </row>
    <row r="146" spans="1:11" ht="12.3">
      <c r="A146" s="266">
        <v>42131</v>
      </c>
      <c r="B146" s="267" t="str">
        <f>HYPERLINK("http://earthquake-report.com/2015/05/07/moderate-earthquake-venus-texas-on-may-7-2015/","USA, Texas  ")</f>
        <v xml:space="preserve">USA, Texas  </v>
      </c>
      <c r="C146" s="274" t="s">
        <v>1810</v>
      </c>
      <c r="D146" s="268">
        <v>3</v>
      </c>
      <c r="E146" s="268" t="s">
        <v>134</v>
      </c>
      <c r="F146" s="269" t="s">
        <v>23</v>
      </c>
      <c r="G146" s="270" t="s">
        <v>23</v>
      </c>
      <c r="H146" s="271">
        <v>1</v>
      </c>
      <c r="I146" s="272"/>
      <c r="J146" s="272">
        <v>0</v>
      </c>
      <c r="K146" s="273" t="s">
        <v>23</v>
      </c>
    </row>
    <row r="147" spans="1:11" ht="12.3">
      <c r="A147" s="266">
        <v>42132</v>
      </c>
      <c r="B147" s="268" t="s">
        <v>1811</v>
      </c>
      <c r="C147" s="275">
        <v>5.8</v>
      </c>
      <c r="D147" s="268"/>
      <c r="E147" s="268"/>
      <c r="F147" s="269" t="s">
        <v>23</v>
      </c>
      <c r="G147" s="270" t="s">
        <v>23</v>
      </c>
      <c r="H147" s="271">
        <v>1</v>
      </c>
      <c r="I147" s="272">
        <v>1</v>
      </c>
      <c r="J147" s="272">
        <v>0</v>
      </c>
      <c r="K147" s="273" t="s">
        <v>23</v>
      </c>
    </row>
    <row r="148" spans="1:11" ht="12.3">
      <c r="A148" s="266">
        <v>42132</v>
      </c>
      <c r="B148" s="267" t="str">
        <f>HYPERLINK("http://earthquake-report.com/2015/05/08/moderate-earthquake-southern-iran-on-may-8-2015/","Iran, Bushehr")</f>
        <v>Iran, Bushehr</v>
      </c>
      <c r="C148" s="268">
        <v>4.5</v>
      </c>
      <c r="D148" s="268">
        <v>12</v>
      </c>
      <c r="E148" s="268"/>
      <c r="F148" s="269" t="s">
        <v>23</v>
      </c>
      <c r="G148" s="270" t="s">
        <v>23</v>
      </c>
      <c r="H148" s="271" t="s">
        <v>1478</v>
      </c>
      <c r="I148" s="272"/>
      <c r="J148" s="272">
        <v>0</v>
      </c>
      <c r="K148" s="273" t="s">
        <v>23</v>
      </c>
    </row>
    <row r="149" spans="1:11" ht="12.3">
      <c r="A149" s="266">
        <v>42133</v>
      </c>
      <c r="B149" s="267" t="str">
        <f>HYPERLINK("http://earthquake-report.com/2015/05/09/moderate-earthquake-maicao-colombia-on-may-9-2015/","Colombia, La Guajira")</f>
        <v>Colombia, La Guajira</v>
      </c>
      <c r="C149" s="268">
        <v>4.7</v>
      </c>
      <c r="D149" s="268"/>
      <c r="E149" s="268"/>
      <c r="F149" s="269" t="s">
        <v>23</v>
      </c>
      <c r="G149" s="270" t="s">
        <v>23</v>
      </c>
      <c r="H149" s="271" t="s">
        <v>1478</v>
      </c>
      <c r="I149" s="272">
        <v>10</v>
      </c>
      <c r="J149" s="272">
        <v>0</v>
      </c>
      <c r="K149" s="273" t="s">
        <v>23</v>
      </c>
    </row>
    <row r="150" spans="1:11" ht="12.3">
      <c r="A150" s="279">
        <v>42134</v>
      </c>
      <c r="B150" s="280" t="str">
        <f>HYPERLINK("http://earthquake-report.com/2015/05/10/moderate-earthquake-kavre-nepal-on-may-10-2015/","Nepal, Central (aftershock)")</f>
        <v>Nepal, Central (aftershock)</v>
      </c>
      <c r="C150" s="282">
        <v>4.2</v>
      </c>
      <c r="D150" s="282"/>
      <c r="E150" s="282"/>
      <c r="F150" s="269">
        <v>1</v>
      </c>
      <c r="G150" s="287" t="s">
        <v>23</v>
      </c>
      <c r="H150" s="283" t="s">
        <v>23</v>
      </c>
      <c r="I150" s="284"/>
      <c r="J150" s="284"/>
      <c r="K150" s="285" t="s">
        <v>23</v>
      </c>
    </row>
    <row r="151" spans="1:11" ht="12.3">
      <c r="A151" s="279">
        <v>42136</v>
      </c>
      <c r="B151" s="280" t="str">
        <f>HYPERLINK("http://wp.me/p1bAUO-D4r","Nepal, Central (aftershock)")</f>
        <v>Nepal, Central (aftershock)</v>
      </c>
      <c r="C151" s="282">
        <v>7.3</v>
      </c>
      <c r="D151" s="282">
        <v>15</v>
      </c>
      <c r="E151" s="282" t="s">
        <v>363</v>
      </c>
      <c r="F151" s="269">
        <v>228</v>
      </c>
      <c r="G151" s="287">
        <v>3680</v>
      </c>
      <c r="H151" s="283">
        <v>5</v>
      </c>
      <c r="I151" s="284"/>
      <c r="J151" s="284"/>
      <c r="K151" s="285" t="s">
        <v>23</v>
      </c>
    </row>
    <row r="152" spans="1:11" ht="12.3">
      <c r="A152" s="266">
        <v>42136</v>
      </c>
      <c r="B152" s="267" t="str">
        <f>HYPERLINK("http://earthquake-report.com/2015/05/12/very-strong-earthquake-eastern-honshu-japan-on-may-12-2015/","OS Japan, Iwate")</f>
        <v>OS Japan, Iwate</v>
      </c>
      <c r="C152" s="275">
        <v>6.6</v>
      </c>
      <c r="D152" s="268">
        <v>50</v>
      </c>
      <c r="E152" s="268" t="s">
        <v>1778</v>
      </c>
      <c r="F152" s="269" t="s">
        <v>23</v>
      </c>
      <c r="G152" s="270" t="s">
        <v>23</v>
      </c>
      <c r="H152" s="271">
        <v>1</v>
      </c>
      <c r="I152" s="272"/>
      <c r="J152" s="272">
        <v>0</v>
      </c>
      <c r="K152" s="273" t="s">
        <v>23</v>
      </c>
    </row>
    <row r="153" spans="1:11" ht="12.3">
      <c r="A153" s="279">
        <v>42136</v>
      </c>
      <c r="B153" s="280" t="str">
        <f>HYPERLINK("http://earthquake-report.com/2015/05/12/very-strong-earthquake-nepal-on-may-12-2015/","Nepal, Central (aftershock)")</f>
        <v>Nepal, Central (aftershock)</v>
      </c>
      <c r="C153" s="282">
        <v>5.9</v>
      </c>
      <c r="D153" s="282"/>
      <c r="E153" s="282"/>
      <c r="F153" s="269">
        <v>1</v>
      </c>
      <c r="G153" s="287" t="s">
        <v>23</v>
      </c>
      <c r="H153" s="283"/>
      <c r="I153" s="284"/>
      <c r="J153" s="284"/>
      <c r="K153" s="285" t="s">
        <v>23</v>
      </c>
    </row>
    <row r="154" spans="1:11" ht="12.3">
      <c r="A154" s="266">
        <v>42137</v>
      </c>
      <c r="B154" s="268" t="s">
        <v>1544</v>
      </c>
      <c r="C154" s="268" t="s">
        <v>326</v>
      </c>
      <c r="D154" s="268"/>
      <c r="E154" s="268"/>
      <c r="F154" s="269" t="s">
        <v>23</v>
      </c>
      <c r="G154" s="270" t="s">
        <v>23</v>
      </c>
      <c r="H154" s="271">
        <v>1</v>
      </c>
      <c r="I154" s="272">
        <v>10</v>
      </c>
      <c r="J154" s="272">
        <v>0</v>
      </c>
      <c r="K154" s="273" t="s">
        <v>23</v>
      </c>
    </row>
    <row r="155" spans="1:11" ht="12.3">
      <c r="A155" s="266">
        <v>42138</v>
      </c>
      <c r="B155" s="277" t="str">
        <f>HYPERLINK("http://earthquake-report.com/2015/05/14/moderate-earthquake-near-coast-of-central-peru-on-may-14-2015/","Peru, Ica")</f>
        <v>Peru, Ica</v>
      </c>
      <c r="C155" s="268">
        <v>5.2</v>
      </c>
      <c r="D155" s="268">
        <v>45</v>
      </c>
      <c r="E155" s="268" t="s">
        <v>684</v>
      </c>
      <c r="F155" s="269" t="s">
        <v>23</v>
      </c>
      <c r="G155" s="270">
        <v>2</v>
      </c>
      <c r="H155" s="271" t="s">
        <v>23</v>
      </c>
      <c r="I155" s="272">
        <v>0</v>
      </c>
      <c r="J155" s="272">
        <v>0</v>
      </c>
      <c r="K155" s="273" t="s">
        <v>23</v>
      </c>
    </row>
    <row r="156" spans="1:11" ht="12.3">
      <c r="A156" s="279">
        <v>42139</v>
      </c>
      <c r="B156" s="280" t="str">
        <f>HYPERLINK("http://earthquake-report.com/2015/05/15/moderate-earthquake-nepal-india-border-region-on-may-15-2015/","Nepal, Central (aftershock)")</f>
        <v>Nepal, Central (aftershock)</v>
      </c>
      <c r="C156" s="282">
        <v>5.5</v>
      </c>
      <c r="D156" s="282"/>
      <c r="E156" s="282"/>
      <c r="F156" s="269">
        <v>1</v>
      </c>
      <c r="G156" s="287"/>
      <c r="H156" s="283"/>
      <c r="I156" s="284"/>
      <c r="J156" s="284"/>
      <c r="K156" s="285" t="s">
        <v>23</v>
      </c>
    </row>
    <row r="157" spans="1:11" ht="12.3">
      <c r="A157" s="266">
        <v>42139</v>
      </c>
      <c r="B157" s="267" t="str">
        <f>HYPERLINK("http://earthquake-report.com/2015/05/14/moderate-earthquake-near-coast-of-central-peru-on-may-14-2015/","Italy, Venice")</f>
        <v>Italy, Venice</v>
      </c>
      <c r="C157" s="268">
        <v>3.5</v>
      </c>
      <c r="D157" s="268">
        <v>11</v>
      </c>
      <c r="E157" s="268"/>
      <c r="F157" s="269" t="s">
        <v>23</v>
      </c>
      <c r="G157" s="270" t="s">
        <v>23</v>
      </c>
      <c r="H157" s="271">
        <v>1</v>
      </c>
      <c r="I157" s="272">
        <v>5</v>
      </c>
      <c r="J157" s="272">
        <v>0</v>
      </c>
      <c r="K157" s="273" t="s">
        <v>23</v>
      </c>
    </row>
    <row r="158" spans="1:11" ht="12.3">
      <c r="A158" s="266">
        <v>42139</v>
      </c>
      <c r="B158" s="268" t="s">
        <v>1812</v>
      </c>
      <c r="C158" s="275">
        <v>6.1</v>
      </c>
      <c r="D158" s="268">
        <v>165</v>
      </c>
      <c r="E158" s="268"/>
      <c r="F158" s="269" t="s">
        <v>23</v>
      </c>
      <c r="G158" s="270" t="s">
        <v>23</v>
      </c>
      <c r="H158" s="271">
        <v>2</v>
      </c>
      <c r="I158" s="272">
        <v>200</v>
      </c>
      <c r="J158" s="272">
        <v>0</v>
      </c>
      <c r="K158" s="273" t="s">
        <v>23</v>
      </c>
    </row>
    <row r="159" spans="1:11" ht="12.3">
      <c r="A159" s="279">
        <v>42140</v>
      </c>
      <c r="B159" s="282" t="s">
        <v>1524</v>
      </c>
      <c r="C159" s="282">
        <v>5.5</v>
      </c>
      <c r="D159" s="282"/>
      <c r="E159" s="282"/>
      <c r="F159" s="269">
        <v>4</v>
      </c>
      <c r="G159" s="287" t="s">
        <v>23</v>
      </c>
      <c r="H159" s="283">
        <v>3</v>
      </c>
      <c r="I159" s="284"/>
      <c r="J159" s="284">
        <v>1</v>
      </c>
      <c r="K159" s="285" t="s">
        <v>23</v>
      </c>
    </row>
    <row r="160" spans="1:11" ht="12.3">
      <c r="A160" s="268" t="s">
        <v>1813</v>
      </c>
      <c r="B160" s="268" t="s">
        <v>1814</v>
      </c>
      <c r="C160" s="275"/>
      <c r="D160" s="268"/>
      <c r="E160" s="268"/>
      <c r="F160" s="269" t="s">
        <v>23</v>
      </c>
      <c r="G160" s="270" t="s">
        <v>23</v>
      </c>
      <c r="H160" s="271">
        <v>2</v>
      </c>
      <c r="I160" s="272"/>
      <c r="J160" s="272">
        <v>0</v>
      </c>
      <c r="K160" s="273" t="s">
        <v>23</v>
      </c>
    </row>
    <row r="161" spans="1:11" ht="12.3">
      <c r="A161" s="266">
        <v>42144</v>
      </c>
      <c r="B161" s="275" t="s">
        <v>1623</v>
      </c>
      <c r="C161" s="275">
        <v>5.5</v>
      </c>
      <c r="D161" s="268"/>
      <c r="E161" s="268" t="s">
        <v>35</v>
      </c>
      <c r="F161" s="269" t="s">
        <v>23</v>
      </c>
      <c r="G161" s="270" t="s">
        <v>23</v>
      </c>
      <c r="H161" s="271" t="s">
        <v>1511</v>
      </c>
      <c r="I161" s="272">
        <v>22</v>
      </c>
      <c r="J161" s="272">
        <v>0</v>
      </c>
      <c r="K161" s="273" t="s">
        <v>23</v>
      </c>
    </row>
    <row r="162" spans="1:11" ht="12.3">
      <c r="A162" s="266">
        <v>42145</v>
      </c>
      <c r="B162" s="275" t="s">
        <v>1815</v>
      </c>
      <c r="C162" s="268">
        <v>4.5999999999999996</v>
      </c>
      <c r="D162" s="268">
        <v>10</v>
      </c>
      <c r="E162" s="268"/>
      <c r="F162" s="269" t="s">
        <v>23</v>
      </c>
      <c r="G162" s="270" t="s">
        <v>23</v>
      </c>
      <c r="H162" s="271">
        <v>3</v>
      </c>
      <c r="I162" s="272"/>
      <c r="J162" s="272">
        <v>3</v>
      </c>
      <c r="K162" s="273" t="s">
        <v>23</v>
      </c>
    </row>
    <row r="163" spans="1:11" ht="12.3">
      <c r="A163" s="266">
        <v>42145</v>
      </c>
      <c r="B163" s="275" t="s">
        <v>1816</v>
      </c>
      <c r="C163" s="268">
        <v>4.3</v>
      </c>
      <c r="D163" s="268">
        <v>4</v>
      </c>
      <c r="E163" s="268"/>
      <c r="F163" s="269" t="s">
        <v>23</v>
      </c>
      <c r="G163" s="270" t="s">
        <v>23</v>
      </c>
      <c r="H163" s="271" t="s">
        <v>1511</v>
      </c>
      <c r="I163" s="272">
        <v>50</v>
      </c>
      <c r="J163" s="272">
        <v>0</v>
      </c>
      <c r="K163" s="273" t="s">
        <v>23</v>
      </c>
    </row>
    <row r="164" spans="1:11" ht="12.3">
      <c r="A164" s="266">
        <v>42146</v>
      </c>
      <c r="B164" s="268" t="s">
        <v>1647</v>
      </c>
      <c r="C164" s="268">
        <v>4.0999999999999996</v>
      </c>
      <c r="D164" s="268">
        <v>13</v>
      </c>
      <c r="E164" s="268" t="s">
        <v>134</v>
      </c>
      <c r="F164" s="269" t="s">
        <v>23</v>
      </c>
      <c r="G164" s="270" t="s">
        <v>23</v>
      </c>
      <c r="H164" s="271">
        <v>1</v>
      </c>
      <c r="I164" s="272">
        <v>0</v>
      </c>
      <c r="J164" s="272">
        <v>0</v>
      </c>
      <c r="K164" s="273" t="s">
        <v>23</v>
      </c>
    </row>
    <row r="165" spans="1:11" ht="12.3">
      <c r="A165" s="266">
        <v>42146</v>
      </c>
      <c r="B165" s="268" t="s">
        <v>1817</v>
      </c>
      <c r="C165" s="268">
        <v>4.2</v>
      </c>
      <c r="D165" s="268">
        <v>13</v>
      </c>
      <c r="E165" s="268" t="s">
        <v>134</v>
      </c>
      <c r="F165" s="269" t="s">
        <v>23</v>
      </c>
      <c r="G165" s="270" t="s">
        <v>23</v>
      </c>
      <c r="H165" s="271">
        <v>1</v>
      </c>
      <c r="I165" s="272">
        <v>1</v>
      </c>
      <c r="J165" s="272">
        <v>0</v>
      </c>
      <c r="K165" s="273" t="s">
        <v>23</v>
      </c>
    </row>
    <row r="166" spans="1:11" ht="12.3">
      <c r="A166" s="266">
        <v>42149</v>
      </c>
      <c r="B166" s="275" t="s">
        <v>1818</v>
      </c>
      <c r="C166" s="275">
        <v>5.5</v>
      </c>
      <c r="D166" s="268">
        <v>56</v>
      </c>
      <c r="E166" s="268" t="s">
        <v>1819</v>
      </c>
      <c r="F166" s="269" t="s">
        <v>23</v>
      </c>
      <c r="G166" s="270">
        <v>2</v>
      </c>
      <c r="H166" s="271" t="s">
        <v>23</v>
      </c>
      <c r="I166" s="272">
        <v>0</v>
      </c>
      <c r="J166" s="272">
        <v>0</v>
      </c>
      <c r="K166" s="273" t="s">
        <v>23</v>
      </c>
    </row>
    <row r="167" spans="1:11" ht="12.3">
      <c r="A167" s="266">
        <v>42151</v>
      </c>
      <c r="B167" s="268" t="s">
        <v>1540</v>
      </c>
      <c r="C167" s="268" t="s">
        <v>1820</v>
      </c>
      <c r="D167" s="268">
        <v>3</v>
      </c>
      <c r="E167" s="268"/>
      <c r="F167" s="269" t="s">
        <v>23</v>
      </c>
      <c r="G167" s="270" t="s">
        <v>23</v>
      </c>
      <c r="H167" s="271">
        <v>1</v>
      </c>
      <c r="I167" s="272">
        <v>9</v>
      </c>
      <c r="J167" s="272">
        <v>0</v>
      </c>
      <c r="K167" s="273" t="s">
        <v>23</v>
      </c>
    </row>
    <row r="168" spans="1:11" ht="12.3">
      <c r="A168" s="266">
        <v>42151</v>
      </c>
      <c r="B168" s="268" t="s">
        <v>1821</v>
      </c>
      <c r="C168" s="268" t="s">
        <v>1822</v>
      </c>
      <c r="D168" s="268"/>
      <c r="E168" s="268"/>
      <c r="F168" s="269" t="s">
        <v>23</v>
      </c>
      <c r="G168" s="270" t="s">
        <v>23</v>
      </c>
      <c r="H168" s="271">
        <v>1</v>
      </c>
      <c r="I168" s="272">
        <v>1</v>
      </c>
      <c r="J168" s="272">
        <v>0</v>
      </c>
      <c r="K168" s="273" t="s">
        <v>23</v>
      </c>
    </row>
    <row r="169" spans="1:11" ht="12.3">
      <c r="A169" s="266">
        <v>407396</v>
      </c>
      <c r="B169" s="275" t="s">
        <v>1823</v>
      </c>
      <c r="C169" s="275">
        <v>8.1</v>
      </c>
      <c r="D169" s="268">
        <v>672</v>
      </c>
      <c r="E169" s="268" t="s">
        <v>1778</v>
      </c>
      <c r="F169" s="269" t="s">
        <v>23</v>
      </c>
      <c r="G169" s="270">
        <v>13</v>
      </c>
      <c r="H169" s="271">
        <v>1</v>
      </c>
      <c r="I169" s="272"/>
      <c r="J169" s="272">
        <v>0</v>
      </c>
      <c r="K169" s="273" t="s">
        <v>23</v>
      </c>
    </row>
    <row r="170" spans="1:11" ht="12.3">
      <c r="A170" s="266">
        <v>42156</v>
      </c>
      <c r="B170" s="268" t="s">
        <v>1824</v>
      </c>
      <c r="C170" s="268">
        <v>4.4000000000000004</v>
      </c>
      <c r="D170" s="268">
        <v>10</v>
      </c>
      <c r="E170" s="268"/>
      <c r="F170" s="269" t="s">
        <v>23</v>
      </c>
      <c r="G170" s="270" t="s">
        <v>23</v>
      </c>
      <c r="H170" s="271" t="s">
        <v>1478</v>
      </c>
      <c r="I170" s="272"/>
      <c r="J170" s="272">
        <v>0</v>
      </c>
      <c r="K170" s="273" t="s">
        <v>23</v>
      </c>
    </row>
    <row r="171" spans="1:11" ht="12.3">
      <c r="A171" s="266">
        <v>42156</v>
      </c>
      <c r="B171" s="268" t="s">
        <v>1825</v>
      </c>
      <c r="C171" s="268">
        <v>4.7</v>
      </c>
      <c r="D171" s="268">
        <v>7</v>
      </c>
      <c r="E171" s="268"/>
      <c r="F171" s="269" t="s">
        <v>23</v>
      </c>
      <c r="G171" s="270" t="s">
        <v>23</v>
      </c>
      <c r="H171" s="271">
        <v>1</v>
      </c>
      <c r="I171" s="272">
        <v>25</v>
      </c>
      <c r="J171" s="272">
        <v>0</v>
      </c>
      <c r="K171" s="273" t="s">
        <v>23</v>
      </c>
    </row>
    <row r="172" spans="1:11" ht="12.3">
      <c r="A172" s="266">
        <v>42157</v>
      </c>
      <c r="B172" s="275" t="s">
        <v>1826</v>
      </c>
      <c r="C172" s="268">
        <v>4.3</v>
      </c>
      <c r="D172" s="268"/>
      <c r="E172" s="268"/>
      <c r="F172" s="269" t="s">
        <v>23</v>
      </c>
      <c r="G172" s="270">
        <v>2</v>
      </c>
      <c r="H172" s="271" t="s">
        <v>23</v>
      </c>
      <c r="I172" s="272">
        <v>0</v>
      </c>
      <c r="J172" s="272">
        <v>0</v>
      </c>
      <c r="K172" s="273" t="s">
        <v>23</v>
      </c>
    </row>
    <row r="173" spans="1:11" ht="12.3">
      <c r="A173" s="279">
        <v>42159</v>
      </c>
      <c r="B173" s="280" t="str">
        <f>HYPERLINK("http://wp.me/p1bAUO-Dzc","Malaysia, Sabah")</f>
        <v>Malaysia, Sabah</v>
      </c>
      <c r="C173" s="282">
        <v>5.9</v>
      </c>
      <c r="D173" s="282">
        <v>10</v>
      </c>
      <c r="E173" s="282" t="s">
        <v>35</v>
      </c>
      <c r="F173" s="269">
        <v>18</v>
      </c>
      <c r="G173" s="287">
        <v>130</v>
      </c>
      <c r="H173" s="283" t="s">
        <v>1511</v>
      </c>
      <c r="I173" s="284">
        <v>488</v>
      </c>
      <c r="J173" s="284">
        <v>0</v>
      </c>
      <c r="K173" s="285" t="s">
        <v>23</v>
      </c>
    </row>
    <row r="174" spans="1:11" ht="12.3">
      <c r="A174" s="266">
        <v>42162</v>
      </c>
      <c r="B174" s="268" t="s">
        <v>1827</v>
      </c>
      <c r="C174" s="268">
        <v>5.0999999999999996</v>
      </c>
      <c r="D174" s="268"/>
      <c r="E174" s="268"/>
      <c r="F174" s="269" t="s">
        <v>23</v>
      </c>
      <c r="G174" s="270" t="s">
        <v>23</v>
      </c>
      <c r="H174" s="271" t="s">
        <v>1478</v>
      </c>
      <c r="I174" s="272"/>
      <c r="J174" s="272">
        <v>0</v>
      </c>
      <c r="K174" s="273" t="s">
        <v>23</v>
      </c>
    </row>
    <row r="175" spans="1:11" ht="12.3">
      <c r="A175" s="266">
        <v>42175</v>
      </c>
      <c r="B175" s="268" t="s">
        <v>1725</v>
      </c>
      <c r="C175" s="278">
        <v>6</v>
      </c>
      <c r="D175" s="268">
        <v>23</v>
      </c>
      <c r="E175" s="268" t="s">
        <v>134</v>
      </c>
      <c r="F175" s="269" t="s">
        <v>23</v>
      </c>
      <c r="G175" s="270" t="s">
        <v>23</v>
      </c>
      <c r="H175" s="271">
        <v>1</v>
      </c>
      <c r="I175" s="272">
        <v>2</v>
      </c>
      <c r="J175" s="272">
        <v>0</v>
      </c>
      <c r="K175" s="273" t="s">
        <v>23</v>
      </c>
    </row>
    <row r="176" spans="1:11" ht="12.3">
      <c r="A176" s="266">
        <v>42176</v>
      </c>
      <c r="B176" s="268" t="s">
        <v>1607</v>
      </c>
      <c r="C176" s="274" t="s">
        <v>1828</v>
      </c>
      <c r="D176" s="268">
        <v>1</v>
      </c>
      <c r="E176" s="268"/>
      <c r="F176" s="269" t="s">
        <v>23</v>
      </c>
      <c r="G176" s="270" t="s">
        <v>23</v>
      </c>
      <c r="H176" s="271">
        <v>1</v>
      </c>
      <c r="I176" s="272"/>
      <c r="J176" s="272">
        <v>0</v>
      </c>
      <c r="K176" s="273" t="s">
        <v>23</v>
      </c>
    </row>
    <row r="177" spans="1:11" ht="12.3">
      <c r="A177" s="266">
        <v>42177</v>
      </c>
      <c r="B177" s="268" t="s">
        <v>1669</v>
      </c>
      <c r="C177" s="268">
        <v>3.5</v>
      </c>
      <c r="D177" s="268"/>
      <c r="E177" s="268"/>
      <c r="F177" s="269" t="s">
        <v>23</v>
      </c>
      <c r="G177" s="270" t="s">
        <v>23</v>
      </c>
      <c r="H177" s="271" t="s">
        <v>1478</v>
      </c>
      <c r="I177" s="272">
        <v>1</v>
      </c>
      <c r="J177" s="272">
        <v>0</v>
      </c>
      <c r="K177" s="273" t="s">
        <v>23</v>
      </c>
    </row>
    <row r="178" spans="1:11" ht="12.3">
      <c r="A178" s="266">
        <v>42179</v>
      </c>
      <c r="B178" s="275" t="s">
        <v>1481</v>
      </c>
      <c r="C178" s="268">
        <v>5.4</v>
      </c>
      <c r="D178" s="268">
        <v>8</v>
      </c>
      <c r="E178" s="268"/>
      <c r="F178" s="269" t="s">
        <v>23</v>
      </c>
      <c r="G178" s="270" t="s">
        <v>23</v>
      </c>
      <c r="H178" s="271" t="s">
        <v>1511</v>
      </c>
      <c r="I178" s="272">
        <v>700</v>
      </c>
      <c r="J178" s="272">
        <v>0</v>
      </c>
      <c r="K178" s="273" t="s">
        <v>23</v>
      </c>
    </row>
    <row r="179" spans="1:11" ht="12.3">
      <c r="A179" s="266">
        <v>42180</v>
      </c>
      <c r="B179" s="268" t="s">
        <v>1829</v>
      </c>
      <c r="C179" s="268">
        <v>4.2</v>
      </c>
      <c r="D179" s="268"/>
      <c r="E179" s="268"/>
      <c r="F179" s="269" t="s">
        <v>23</v>
      </c>
      <c r="G179" s="270" t="s">
        <v>23</v>
      </c>
      <c r="H179" s="271">
        <v>2</v>
      </c>
      <c r="I179" s="272">
        <v>58</v>
      </c>
      <c r="J179" s="272">
        <v>0</v>
      </c>
      <c r="K179" s="273" t="s">
        <v>23</v>
      </c>
    </row>
    <row r="180" spans="1:11" ht="12.3">
      <c r="A180" s="266">
        <v>42182</v>
      </c>
      <c r="B180" s="268" t="s">
        <v>1830</v>
      </c>
      <c r="C180" s="268">
        <v>5.2</v>
      </c>
      <c r="D180" s="268"/>
      <c r="E180" s="268"/>
      <c r="F180" s="269" t="s">
        <v>23</v>
      </c>
      <c r="G180" s="270" t="s">
        <v>23</v>
      </c>
      <c r="H180" s="271" t="s">
        <v>1478</v>
      </c>
      <c r="I180" s="272"/>
      <c r="J180" s="272">
        <v>0</v>
      </c>
      <c r="K180" s="273" t="s">
        <v>23</v>
      </c>
    </row>
    <row r="181" spans="1:11" ht="12.3">
      <c r="A181" s="266">
        <v>42183</v>
      </c>
      <c r="B181" s="275" t="s">
        <v>1831</v>
      </c>
      <c r="C181" s="275">
        <v>5.6</v>
      </c>
      <c r="D181" s="268"/>
      <c r="E181" s="268"/>
      <c r="F181" s="269" t="s">
        <v>23</v>
      </c>
      <c r="G181" s="270">
        <v>4</v>
      </c>
      <c r="H181" s="271">
        <v>2</v>
      </c>
      <c r="I181" s="272"/>
      <c r="J181" s="272">
        <v>0</v>
      </c>
      <c r="K181" s="273" t="s">
        <v>23</v>
      </c>
    </row>
    <row r="182" spans="1:11" ht="12.3">
      <c r="A182" s="266">
        <v>42183</v>
      </c>
      <c r="B182" s="268" t="s">
        <v>1579</v>
      </c>
      <c r="C182" s="275">
        <v>5.6</v>
      </c>
      <c r="D182" s="268">
        <v>84</v>
      </c>
      <c r="E182" s="268"/>
      <c r="F182" s="269" t="s">
        <v>23</v>
      </c>
      <c r="G182" s="270" t="s">
        <v>23</v>
      </c>
      <c r="H182" s="271">
        <v>2</v>
      </c>
      <c r="I182" s="272">
        <v>7</v>
      </c>
      <c r="J182" s="272">
        <v>0</v>
      </c>
      <c r="K182" s="273" t="s">
        <v>23</v>
      </c>
    </row>
    <row r="183" spans="1:11" ht="12.3">
      <c r="A183" s="266">
        <v>42184</v>
      </c>
      <c r="B183" s="275" t="s">
        <v>1661</v>
      </c>
      <c r="C183" s="278">
        <v>5.8</v>
      </c>
      <c r="D183" s="268">
        <v>48</v>
      </c>
      <c r="E183" s="268"/>
      <c r="F183" s="269" t="s">
        <v>23</v>
      </c>
      <c r="G183" s="270" t="s">
        <v>23</v>
      </c>
      <c r="H183" s="271">
        <v>2</v>
      </c>
      <c r="I183" s="272"/>
      <c r="J183" s="272">
        <v>3</v>
      </c>
      <c r="K183" s="273" t="s">
        <v>23</v>
      </c>
    </row>
    <row r="184" spans="1:11" ht="12.3">
      <c r="A184" s="266">
        <v>42186</v>
      </c>
      <c r="B184" s="275" t="s">
        <v>1832</v>
      </c>
      <c r="C184" s="274">
        <v>4</v>
      </c>
      <c r="D184" s="268">
        <v>4</v>
      </c>
      <c r="E184" s="268" t="s">
        <v>134</v>
      </c>
      <c r="F184" s="269" t="s">
        <v>23</v>
      </c>
      <c r="G184" s="270" t="s">
        <v>23</v>
      </c>
      <c r="H184" s="271">
        <v>3</v>
      </c>
      <c r="I184" s="272">
        <v>13</v>
      </c>
      <c r="J184" s="272">
        <v>2</v>
      </c>
      <c r="K184" s="273" t="s">
        <v>23</v>
      </c>
    </row>
    <row r="185" spans="1:11" ht="12.3">
      <c r="A185" s="266">
        <v>42187</v>
      </c>
      <c r="B185" s="268" t="s">
        <v>1833</v>
      </c>
      <c r="C185" s="278">
        <v>5.8</v>
      </c>
      <c r="D185" s="268"/>
      <c r="E185" s="268"/>
      <c r="F185" s="293" t="s">
        <v>23</v>
      </c>
      <c r="G185" s="294" t="s">
        <v>23</v>
      </c>
      <c r="H185" s="271">
        <v>1</v>
      </c>
      <c r="I185" s="272"/>
      <c r="J185" s="272">
        <v>0</v>
      </c>
      <c r="K185" s="273" t="s">
        <v>23</v>
      </c>
    </row>
    <row r="186" spans="1:11" ht="12.3">
      <c r="A186" s="279">
        <v>42188</v>
      </c>
      <c r="B186" s="280" t="str">
        <f>HYPERLINK("http://wp.me/p1bAUO-DZZ","China, Xinjiang")</f>
        <v>China, Xinjiang</v>
      </c>
      <c r="C186" s="282">
        <v>6.5</v>
      </c>
      <c r="D186" s="282">
        <v>10</v>
      </c>
      <c r="E186" s="282" t="s">
        <v>363</v>
      </c>
      <c r="F186" s="269">
        <v>3</v>
      </c>
      <c r="G186" s="287">
        <v>214</v>
      </c>
      <c r="H186" s="283">
        <v>5</v>
      </c>
      <c r="I186" s="284">
        <v>69029</v>
      </c>
      <c r="J186" s="284">
        <v>7586</v>
      </c>
      <c r="K186" s="285" t="s">
        <v>23</v>
      </c>
    </row>
    <row r="187" spans="1:11" ht="12.3">
      <c r="A187" s="266">
        <v>42188</v>
      </c>
      <c r="B187" s="268" t="s">
        <v>1834</v>
      </c>
      <c r="C187" s="268">
        <v>6.1</v>
      </c>
      <c r="D187" s="268">
        <v>30</v>
      </c>
      <c r="E187" s="268" t="s">
        <v>134</v>
      </c>
      <c r="F187" s="269" t="s">
        <v>23</v>
      </c>
      <c r="G187" s="270" t="s">
        <v>23</v>
      </c>
      <c r="H187" s="271" t="s">
        <v>1478</v>
      </c>
      <c r="I187" s="272">
        <v>5</v>
      </c>
      <c r="J187" s="272">
        <v>0</v>
      </c>
      <c r="K187" s="273" t="s">
        <v>23</v>
      </c>
    </row>
    <row r="188" spans="1:11" ht="12.3">
      <c r="A188" s="266">
        <v>42191</v>
      </c>
      <c r="B188" s="275" t="s">
        <v>1776</v>
      </c>
      <c r="C188" s="268">
        <v>4.7</v>
      </c>
      <c r="D188" s="268">
        <v>9</v>
      </c>
      <c r="E188" s="268"/>
      <c r="F188" s="269" t="s">
        <v>23</v>
      </c>
      <c r="G188" s="270" t="s">
        <v>23</v>
      </c>
      <c r="H188" s="271" t="s">
        <v>1511</v>
      </c>
      <c r="I188" s="272"/>
      <c r="J188" s="272">
        <v>0</v>
      </c>
      <c r="K188" s="273" t="s">
        <v>23</v>
      </c>
    </row>
    <row r="189" spans="1:11" ht="12.3">
      <c r="A189" s="266">
        <v>42194</v>
      </c>
      <c r="B189" s="275" t="s">
        <v>1835</v>
      </c>
      <c r="C189" s="275">
        <v>5.7</v>
      </c>
      <c r="D189" s="268">
        <v>88</v>
      </c>
      <c r="E189" s="268" t="s">
        <v>1503</v>
      </c>
      <c r="F189" s="269" t="s">
        <v>23</v>
      </c>
      <c r="G189" s="270">
        <v>2</v>
      </c>
      <c r="H189" s="271" t="s">
        <v>23</v>
      </c>
      <c r="I189" s="272">
        <v>0</v>
      </c>
      <c r="J189" s="272">
        <v>0</v>
      </c>
      <c r="K189" s="273" t="s">
        <v>23</v>
      </c>
    </row>
    <row r="190" spans="1:11" ht="12.3">
      <c r="A190" s="266">
        <v>42195</v>
      </c>
      <c r="B190" s="268" t="s">
        <v>1836</v>
      </c>
      <c r="C190" s="275">
        <v>6.7</v>
      </c>
      <c r="D190" s="268">
        <v>12</v>
      </c>
      <c r="E190" s="268"/>
      <c r="F190" s="269" t="s">
        <v>23</v>
      </c>
      <c r="G190" s="270" t="s">
        <v>23</v>
      </c>
      <c r="H190" s="271" t="s">
        <v>23</v>
      </c>
      <c r="I190" s="272">
        <v>0</v>
      </c>
      <c r="J190" s="272">
        <v>0</v>
      </c>
      <c r="K190" s="273" t="s">
        <v>1459</v>
      </c>
    </row>
    <row r="191" spans="1:11" ht="12.3">
      <c r="A191" s="266">
        <v>42196</v>
      </c>
      <c r="B191" s="268" t="s">
        <v>1837</v>
      </c>
      <c r="C191" s="275"/>
      <c r="D191" s="268"/>
      <c r="E191" s="268"/>
      <c r="F191" s="269" t="s">
        <v>23</v>
      </c>
      <c r="G191" s="270" t="s">
        <v>23</v>
      </c>
      <c r="H191" s="271">
        <v>1</v>
      </c>
      <c r="I191" s="272"/>
      <c r="J191" s="272">
        <v>0</v>
      </c>
      <c r="K191" s="273" t="s">
        <v>23</v>
      </c>
    </row>
    <row r="192" spans="1:11" ht="12.3">
      <c r="A192" s="266">
        <v>42197</v>
      </c>
      <c r="B192" s="275" t="s">
        <v>1838</v>
      </c>
      <c r="C192" s="275">
        <v>5.7</v>
      </c>
      <c r="D192" s="268">
        <v>60</v>
      </c>
      <c r="E192" s="268" t="s">
        <v>1778</v>
      </c>
      <c r="F192" s="269" t="s">
        <v>23</v>
      </c>
      <c r="G192" s="270">
        <v>3</v>
      </c>
      <c r="H192" s="271">
        <v>2</v>
      </c>
      <c r="I192" s="272">
        <v>3</v>
      </c>
      <c r="J192" s="272">
        <v>1</v>
      </c>
      <c r="K192" s="273" t="s">
        <v>23</v>
      </c>
    </row>
    <row r="193" spans="1:11" ht="12.3">
      <c r="A193" s="266">
        <v>42199</v>
      </c>
      <c r="B193" s="268" t="s">
        <v>1839</v>
      </c>
      <c r="C193" s="268">
        <v>4.8</v>
      </c>
      <c r="D193" s="268">
        <v>4</v>
      </c>
      <c r="E193" s="268" t="s">
        <v>35</v>
      </c>
      <c r="F193" s="269" t="s">
        <v>23</v>
      </c>
      <c r="G193" s="270" t="s">
        <v>23</v>
      </c>
      <c r="H193" s="271" t="s">
        <v>1478</v>
      </c>
      <c r="I193" s="272"/>
      <c r="J193" s="272">
        <v>0</v>
      </c>
      <c r="K193" s="273" t="s">
        <v>23</v>
      </c>
    </row>
    <row r="194" spans="1:11" ht="12.3">
      <c r="A194" s="266">
        <v>42201</v>
      </c>
      <c r="B194" s="267" t="str">
        <f>HYPERLINK("http://earthquake-report.com/2015/07/16/very-strong-earthquake-bathsheba-barbados-on-july-16-2015/","OS Barbados")</f>
        <v>OS Barbados</v>
      </c>
      <c r="C194" s="275">
        <v>6.4</v>
      </c>
      <c r="D194" s="268"/>
      <c r="E194" s="268"/>
      <c r="F194" s="269" t="s">
        <v>23</v>
      </c>
      <c r="G194" s="270" t="s">
        <v>23</v>
      </c>
      <c r="H194" s="271">
        <v>1</v>
      </c>
      <c r="I194" s="272">
        <v>1</v>
      </c>
      <c r="J194" s="272">
        <v>0</v>
      </c>
      <c r="K194" s="273" t="s">
        <v>23</v>
      </c>
    </row>
    <row r="195" spans="1:11" ht="12.3">
      <c r="A195" s="266">
        <v>42203</v>
      </c>
      <c r="B195" s="267" t="str">
        <f>HYPERLINK("http://earthquake-report.com/2015/07/18/massive-earthquake-santa-cruz-islands-on-july-18-2015/","OS Solomon Islands, Temotu")</f>
        <v>OS Solomon Islands, Temotu</v>
      </c>
      <c r="C195" s="278">
        <v>7</v>
      </c>
      <c r="D195" s="268"/>
      <c r="E195" s="268" t="s">
        <v>363</v>
      </c>
      <c r="F195" s="269" t="s">
        <v>23</v>
      </c>
      <c r="G195" s="270" t="s">
        <v>23</v>
      </c>
      <c r="H195" s="271">
        <v>1</v>
      </c>
      <c r="I195" s="272"/>
      <c r="J195" s="272">
        <v>0</v>
      </c>
      <c r="K195" s="273" t="s">
        <v>705</v>
      </c>
    </row>
    <row r="196" spans="1:11" ht="12.3">
      <c r="A196" s="266">
        <v>42203</v>
      </c>
      <c r="B196" s="277" t="str">
        <f>HYPERLINK("http://earthquake-report.com/2015/07/19/moderate-earthquake-rudraprayag-india-on-july-18-2015/","India, Uttarakhand")</f>
        <v>India, Uttarakhand</v>
      </c>
      <c r="C196" s="274">
        <v>4</v>
      </c>
      <c r="D196" s="268"/>
      <c r="E196" s="268"/>
      <c r="F196" s="269" t="s">
        <v>23</v>
      </c>
      <c r="G196" s="270">
        <v>1</v>
      </c>
      <c r="H196" s="271">
        <v>2</v>
      </c>
      <c r="I196" s="272"/>
      <c r="J196" s="272">
        <v>4</v>
      </c>
      <c r="K196" s="273" t="s">
        <v>23</v>
      </c>
    </row>
    <row r="197" spans="1:11" ht="12.3">
      <c r="A197" s="266">
        <v>42204</v>
      </c>
      <c r="B197" s="267" t="str">
        <f>HYPERLINK("http://earthquake-report.com/2015/07/19/moderate-earthquake-ukrainemoldovasw-russia-region-on-july-19-2015/","Ukraine, Oblast Zakarpattia")</f>
        <v>Ukraine, Oblast Zakarpattia</v>
      </c>
      <c r="C197" s="268">
        <v>3.8</v>
      </c>
      <c r="D197" s="268">
        <v>5</v>
      </c>
      <c r="E197" s="268"/>
      <c r="F197" s="269" t="s">
        <v>23</v>
      </c>
      <c r="G197" s="270" t="s">
        <v>23</v>
      </c>
      <c r="H197" s="271" t="s">
        <v>1478</v>
      </c>
      <c r="I197" s="272"/>
      <c r="J197" s="272">
        <v>0</v>
      </c>
      <c r="K197" s="273" t="s">
        <v>23</v>
      </c>
    </row>
    <row r="198" spans="1:11" ht="12.3">
      <c r="A198" s="266">
        <v>42204</v>
      </c>
      <c r="B198" s="267" t="str">
        <f>HYPERLINK("http://earthquake-report.com/2015/07/19/earthquakes-in-the-world-on-july-19-2015-m2-9-or-more/","China, Gansu")</f>
        <v>China, Gansu</v>
      </c>
      <c r="C198" s="268">
        <v>3.3</v>
      </c>
      <c r="D198" s="268">
        <v>11</v>
      </c>
      <c r="E198" s="268"/>
      <c r="F198" s="269" t="s">
        <v>23</v>
      </c>
      <c r="G198" s="270" t="s">
        <v>23</v>
      </c>
      <c r="H198" s="271">
        <v>1</v>
      </c>
      <c r="I198" s="272"/>
      <c r="J198" s="272">
        <v>0</v>
      </c>
      <c r="K198" s="273" t="s">
        <v>23</v>
      </c>
    </row>
    <row r="199" spans="1:11" ht="12.3">
      <c r="A199" s="266">
        <v>42205</v>
      </c>
      <c r="B199" s="267" t="str">
        <f>HYPERLINK("http://earthquake-report.com/2015/07/20/moderate-earthquake-oklahoma-on-july-20-2015/","USA, Oklahoma")</f>
        <v>USA, Oklahoma</v>
      </c>
      <c r="C199" s="268" t="s">
        <v>1840</v>
      </c>
      <c r="D199" s="268">
        <v>5</v>
      </c>
      <c r="E199" s="268" t="s">
        <v>134</v>
      </c>
      <c r="F199" s="269" t="s">
        <v>23</v>
      </c>
      <c r="G199" s="270" t="s">
        <v>23</v>
      </c>
      <c r="H199" s="271" t="s">
        <v>1478</v>
      </c>
      <c r="I199" s="272"/>
      <c r="J199" s="272">
        <v>0</v>
      </c>
      <c r="K199" s="273" t="s">
        <v>23</v>
      </c>
    </row>
    <row r="200" spans="1:11" ht="12.3">
      <c r="A200" s="266">
        <v>42208</v>
      </c>
      <c r="B200" s="277" t="str">
        <f>HYPERLINK("http://earthquake-report.com/2015/07/23/earthquakes-in-the-world-on-july-23-2015-m2-9-or-more/","India, Maharashtra")</f>
        <v>India, Maharashtra</v>
      </c>
      <c r="C200" s="268">
        <v>3.9</v>
      </c>
      <c r="D200" s="268"/>
      <c r="E200" s="268"/>
      <c r="F200" s="269" t="s">
        <v>23</v>
      </c>
      <c r="G200" s="270" t="s">
        <v>23</v>
      </c>
      <c r="H200" s="271" t="s">
        <v>1511</v>
      </c>
      <c r="I200" s="272">
        <v>20</v>
      </c>
      <c r="J200" s="272">
        <v>0</v>
      </c>
      <c r="K200" s="273" t="s">
        <v>23</v>
      </c>
    </row>
    <row r="201" spans="1:11" ht="12.3">
      <c r="A201" s="266">
        <v>42209</v>
      </c>
      <c r="B201" s="267" t="str">
        <f>HYPERLINK("http://earthquake-report.com/2015/07/24/strong-earthquake-near-coast-of-northern-chile-on-july-24-2015/","Chile, Tarapaca")</f>
        <v>Chile, Tarapaca</v>
      </c>
      <c r="C201" s="268">
        <v>5.3</v>
      </c>
      <c r="D201" s="268">
        <v>38</v>
      </c>
      <c r="E201" s="268" t="s">
        <v>35</v>
      </c>
      <c r="F201" s="293" t="s">
        <v>23</v>
      </c>
      <c r="G201" s="294" t="s">
        <v>23</v>
      </c>
      <c r="H201" s="271">
        <v>1</v>
      </c>
      <c r="I201" s="272">
        <v>0</v>
      </c>
      <c r="J201" s="272">
        <v>0</v>
      </c>
      <c r="K201" s="273" t="s">
        <v>23</v>
      </c>
    </row>
    <row r="202" spans="1:11" ht="12.3">
      <c r="A202" s="279">
        <v>42209</v>
      </c>
      <c r="B202" s="280" t="str">
        <f>HYPERLINK("http://earthquake-report.com/2015/07/24/moderate-earthquake-pakistan-on-july-24-2015/","Pakistan, Khyber Pakhtunkhwa")</f>
        <v>Pakistan, Khyber Pakhtunkhwa</v>
      </c>
      <c r="C202" s="282">
        <v>5.5</v>
      </c>
      <c r="D202" s="282"/>
      <c r="E202" s="282"/>
      <c r="F202" s="269">
        <v>3</v>
      </c>
      <c r="G202" s="287">
        <v>1</v>
      </c>
      <c r="H202" s="283">
        <v>3</v>
      </c>
      <c r="I202" s="284"/>
      <c r="J202" s="284">
        <v>1</v>
      </c>
      <c r="K202" s="285" t="s">
        <v>23</v>
      </c>
    </row>
    <row r="203" spans="1:11" ht="12.3">
      <c r="A203" s="266">
        <v>42210</v>
      </c>
      <c r="B203" s="268" t="s">
        <v>1537</v>
      </c>
      <c r="C203" s="275">
        <v>3.3</v>
      </c>
      <c r="D203" s="268"/>
      <c r="E203" s="268"/>
      <c r="F203" s="269" t="s">
        <v>23</v>
      </c>
      <c r="G203" s="270" t="s">
        <v>23</v>
      </c>
      <c r="H203" s="271">
        <v>1</v>
      </c>
      <c r="I203" s="272"/>
      <c r="J203" s="272">
        <v>0</v>
      </c>
      <c r="K203" s="273" t="s">
        <v>23</v>
      </c>
    </row>
    <row r="204" spans="1:11" ht="12.3">
      <c r="A204" s="266">
        <v>42211</v>
      </c>
      <c r="B204" s="267" t="str">
        <f>HYPERLINK("http://wp.me/p1bAUO-Er9","OS Indonesia, Java Timur")</f>
        <v>OS Indonesia, Java Timur</v>
      </c>
      <c r="C204" s="275">
        <v>5.9</v>
      </c>
      <c r="D204" s="268">
        <v>56</v>
      </c>
      <c r="E204" s="268" t="s">
        <v>684</v>
      </c>
      <c r="F204" s="269" t="s">
        <v>23</v>
      </c>
      <c r="G204" s="270" t="s">
        <v>23</v>
      </c>
      <c r="H204" s="271" t="s">
        <v>1478</v>
      </c>
      <c r="I204" s="272">
        <v>50</v>
      </c>
      <c r="J204" s="272">
        <v>0</v>
      </c>
      <c r="K204" s="273" t="s">
        <v>23</v>
      </c>
    </row>
    <row r="205" spans="1:11" ht="12.3">
      <c r="A205" s="266">
        <v>42212</v>
      </c>
      <c r="B205" s="268" t="s">
        <v>1841</v>
      </c>
      <c r="C205" s="275">
        <v>6.9</v>
      </c>
      <c r="D205" s="268">
        <v>29</v>
      </c>
      <c r="E205" s="268"/>
      <c r="F205" s="269" t="s">
        <v>23</v>
      </c>
      <c r="G205" s="270" t="s">
        <v>23</v>
      </c>
      <c r="H205" s="271" t="s">
        <v>23</v>
      </c>
      <c r="I205" s="272">
        <v>0</v>
      </c>
      <c r="J205" s="272">
        <v>0</v>
      </c>
      <c r="K205" s="273" t="s">
        <v>1739</v>
      </c>
    </row>
    <row r="206" spans="1:11" ht="12.3">
      <c r="A206" s="266">
        <v>42212</v>
      </c>
      <c r="B206" s="267" t="str">
        <f>HYPERLINK("http://earthquake-report.com/2015/07/27/moderate-earthquake-oklahoma-on-july-27-2015/","USA, Oklahoma")</f>
        <v>USA, Oklahoma</v>
      </c>
      <c r="C206" s="268" t="s">
        <v>1717</v>
      </c>
      <c r="D206" s="268">
        <v>3</v>
      </c>
      <c r="E206" s="268" t="s">
        <v>35</v>
      </c>
      <c r="F206" s="269" t="s">
        <v>23</v>
      </c>
      <c r="G206" s="270" t="s">
        <v>23</v>
      </c>
      <c r="H206" s="271" t="s">
        <v>1478</v>
      </c>
      <c r="I206" s="272"/>
      <c r="J206" s="272">
        <v>0</v>
      </c>
      <c r="K206" s="273" t="s">
        <v>23</v>
      </c>
    </row>
    <row r="207" spans="1:11" ht="12.3">
      <c r="A207" s="279">
        <v>42212</v>
      </c>
      <c r="B207" s="280" t="str">
        <f>HYPERLINK("http://earthquake-report.com/2015/07/27/massive-earthquake-irian-jaya-indonesia-on-july-27-2015/","Indonesia, Papua")</f>
        <v>Indonesia, Papua</v>
      </c>
      <c r="C207" s="282">
        <v>7.2</v>
      </c>
      <c r="D207" s="282">
        <v>49</v>
      </c>
      <c r="E207" s="282" t="s">
        <v>123</v>
      </c>
      <c r="F207" s="269">
        <v>1</v>
      </c>
      <c r="G207" s="287" t="s">
        <v>23</v>
      </c>
      <c r="H207" s="283">
        <v>2</v>
      </c>
      <c r="I207" s="284"/>
      <c r="J207" s="284">
        <v>0</v>
      </c>
      <c r="K207" s="285" t="s">
        <v>23</v>
      </c>
    </row>
    <row r="208" spans="1:11" ht="12.3">
      <c r="A208" s="266">
        <v>42214</v>
      </c>
      <c r="B208" s="277" t="str">
        <f>HYPERLINK("http://wp.me/p1bAUO-Ewd","Panama, Emberá-Wounaan")</f>
        <v>Panama, Emberá-Wounaan</v>
      </c>
      <c r="C208" s="275">
        <v>5.9</v>
      </c>
      <c r="D208" s="268">
        <v>12</v>
      </c>
      <c r="E208" s="268" t="s">
        <v>35</v>
      </c>
      <c r="F208" s="269" t="s">
        <v>23</v>
      </c>
      <c r="G208" s="270">
        <v>6</v>
      </c>
      <c r="H208" s="271" t="s">
        <v>1511</v>
      </c>
      <c r="I208" s="272">
        <v>30</v>
      </c>
      <c r="J208" s="272">
        <v>0</v>
      </c>
      <c r="K208" s="273" t="s">
        <v>23</v>
      </c>
    </row>
    <row r="209" spans="1:11" ht="12.3">
      <c r="A209" s="266">
        <v>42214</v>
      </c>
      <c r="B209" s="277" t="str">
        <f>HYPERLINK("http://wp.me/p1bAUO-Ewd","Panama, Emberá-Wounaan (aftershock)")</f>
        <v>Panama, Emberá-Wounaan (aftershock)</v>
      </c>
      <c r="C209" s="275">
        <v>4.0999999999999996</v>
      </c>
      <c r="D209" s="268">
        <v>14</v>
      </c>
      <c r="E209" s="268"/>
      <c r="F209" s="269" t="s">
        <v>23</v>
      </c>
      <c r="G209" s="270" t="s">
        <v>23</v>
      </c>
      <c r="H209" s="271">
        <v>2</v>
      </c>
      <c r="I209" s="272">
        <v>0</v>
      </c>
      <c r="J209" s="272">
        <v>1</v>
      </c>
      <c r="K209" s="273" t="s">
        <v>23</v>
      </c>
    </row>
    <row r="210" spans="1:11" ht="12.3">
      <c r="A210" s="266">
        <v>42214</v>
      </c>
      <c r="B210" s="267" t="str">
        <f>HYPERLINK("http://earthquake-report.com/2015/07/29/minor-earthquake-sweden-on-july-29-2015/","OS Sweden, Västra Götaland")</f>
        <v>OS Sweden, Västra Götaland</v>
      </c>
      <c r="C210" s="268">
        <v>2.9</v>
      </c>
      <c r="D210" s="268"/>
      <c r="E210" s="268"/>
      <c r="F210" s="269" t="s">
        <v>23</v>
      </c>
      <c r="G210" s="270" t="s">
        <v>23</v>
      </c>
      <c r="H210" s="271">
        <v>1</v>
      </c>
      <c r="I210" s="272">
        <v>2</v>
      </c>
      <c r="J210" s="272">
        <v>0</v>
      </c>
      <c r="K210" s="273" t="s">
        <v>23</v>
      </c>
    </row>
    <row r="211" spans="1:11" ht="12.3">
      <c r="A211" s="266">
        <v>42214</v>
      </c>
      <c r="B211" s="267" t="str">
        <f>HYPERLINK("http://wp.me/p1bAUO-ExP","OS Turkey, Adana")</f>
        <v>OS Turkey, Adana</v>
      </c>
      <c r="C211" s="268">
        <v>5.2</v>
      </c>
      <c r="D211" s="268">
        <v>18</v>
      </c>
      <c r="E211" s="268"/>
      <c r="F211" s="269" t="s">
        <v>23</v>
      </c>
      <c r="G211" s="270" t="s">
        <v>23</v>
      </c>
      <c r="H211" s="271" t="s">
        <v>1478</v>
      </c>
      <c r="I211" s="272">
        <v>10</v>
      </c>
      <c r="J211" s="272">
        <v>0</v>
      </c>
      <c r="K211" s="273" t="s">
        <v>23</v>
      </c>
    </row>
    <row r="212" spans="1:11" ht="12.3">
      <c r="A212" s="266">
        <v>42216</v>
      </c>
      <c r="B212" s="277" t="str">
        <f>HYPERLINK("http://wp.me/p1bAUO-EAq","Iran, Kerman")</f>
        <v>Iran, Kerman</v>
      </c>
      <c r="C212" s="275">
        <v>5.5</v>
      </c>
      <c r="D212" s="268">
        <v>8</v>
      </c>
      <c r="E212" s="268"/>
      <c r="F212" s="269" t="s">
        <v>23</v>
      </c>
      <c r="G212" s="270">
        <v>27</v>
      </c>
      <c r="H212" s="271">
        <v>3</v>
      </c>
      <c r="I212" s="272"/>
      <c r="J212" s="272">
        <v>1</v>
      </c>
      <c r="K212" s="273" t="s">
        <v>23</v>
      </c>
    </row>
    <row r="213" spans="1:11" ht="12.3">
      <c r="A213" s="266">
        <v>42217</v>
      </c>
      <c r="B213" s="268" t="s">
        <v>1797</v>
      </c>
      <c r="C213" s="274">
        <v>4</v>
      </c>
      <c r="D213" s="268">
        <v>8</v>
      </c>
      <c r="E213" s="268"/>
      <c r="F213" s="269" t="s">
        <v>23</v>
      </c>
      <c r="G213" s="270" t="s">
        <v>23</v>
      </c>
      <c r="H213" s="271">
        <v>1</v>
      </c>
      <c r="I213" s="272">
        <v>10</v>
      </c>
      <c r="J213" s="272">
        <v>0</v>
      </c>
      <c r="K213" s="273" t="s">
        <v>23</v>
      </c>
    </row>
    <row r="214" spans="1:11" ht="12.3">
      <c r="A214" s="266">
        <v>42219</v>
      </c>
      <c r="B214" s="268" t="s">
        <v>1842</v>
      </c>
      <c r="C214" s="275">
        <v>5.5</v>
      </c>
      <c r="D214" s="268"/>
      <c r="E214" s="268"/>
      <c r="F214" s="269" t="s">
        <v>23</v>
      </c>
      <c r="G214" s="270" t="s">
        <v>23</v>
      </c>
      <c r="H214" s="271">
        <v>2</v>
      </c>
      <c r="I214" s="272"/>
      <c r="J214" s="272">
        <v>0</v>
      </c>
      <c r="K214" s="273" t="s">
        <v>23</v>
      </c>
    </row>
    <row r="215" spans="1:11" ht="12.3">
      <c r="A215" s="266">
        <v>42220</v>
      </c>
      <c r="B215" s="268" t="s">
        <v>1594</v>
      </c>
      <c r="C215" s="268">
        <v>4.2</v>
      </c>
      <c r="D215" s="268">
        <v>5</v>
      </c>
      <c r="E215" s="268"/>
      <c r="F215" s="269" t="s">
        <v>23</v>
      </c>
      <c r="G215" s="270" t="s">
        <v>23</v>
      </c>
      <c r="H215" s="271">
        <v>2</v>
      </c>
      <c r="I215" s="272">
        <v>200</v>
      </c>
      <c r="J215" s="272">
        <v>0</v>
      </c>
      <c r="K215" s="273" t="s">
        <v>23</v>
      </c>
    </row>
    <row r="216" spans="1:11" ht="12.3">
      <c r="A216" s="279">
        <v>42223</v>
      </c>
      <c r="B216" s="282" t="s">
        <v>1843</v>
      </c>
      <c r="C216" s="282">
        <v>5.8</v>
      </c>
      <c r="D216" s="282">
        <v>12</v>
      </c>
      <c r="E216" s="282" t="s">
        <v>35</v>
      </c>
      <c r="F216" s="269">
        <v>3</v>
      </c>
      <c r="G216" s="287">
        <v>68</v>
      </c>
      <c r="H216" s="283">
        <v>4</v>
      </c>
      <c r="I216" s="284"/>
      <c r="J216" s="284">
        <v>100</v>
      </c>
      <c r="K216" s="285" t="s">
        <v>23</v>
      </c>
    </row>
    <row r="217" spans="1:11" ht="12.3">
      <c r="A217" s="266">
        <v>42224</v>
      </c>
      <c r="B217" s="268" t="s">
        <v>1844</v>
      </c>
      <c r="C217" s="268"/>
      <c r="D217" s="268"/>
      <c r="E217" s="268"/>
      <c r="F217" s="269" t="s">
        <v>23</v>
      </c>
      <c r="G217" s="270" t="s">
        <v>23</v>
      </c>
      <c r="H217" s="271">
        <v>1</v>
      </c>
      <c r="I217" s="272">
        <v>1</v>
      </c>
      <c r="J217" s="272">
        <v>0</v>
      </c>
      <c r="K217" s="273" t="s">
        <v>23</v>
      </c>
    </row>
    <row r="218" spans="1:11" ht="12.3">
      <c r="A218" s="266">
        <v>42225</v>
      </c>
      <c r="B218" s="275" t="s">
        <v>1845</v>
      </c>
      <c r="C218" s="268">
        <v>3.9</v>
      </c>
      <c r="D218" s="268">
        <v>7</v>
      </c>
      <c r="E218" s="268"/>
      <c r="F218" s="269" t="s">
        <v>23</v>
      </c>
      <c r="G218" s="270">
        <v>4</v>
      </c>
      <c r="H218" s="271" t="s">
        <v>1511</v>
      </c>
      <c r="I218" s="272">
        <v>92</v>
      </c>
      <c r="J218" s="272">
        <v>0</v>
      </c>
      <c r="K218" s="273" t="s">
        <v>23</v>
      </c>
    </row>
    <row r="219" spans="1:11" ht="12.3">
      <c r="A219" s="266">
        <v>42226</v>
      </c>
      <c r="B219" s="268" t="s">
        <v>1481</v>
      </c>
      <c r="C219" s="268">
        <v>4.5999999999999996</v>
      </c>
      <c r="D219" s="268">
        <v>10</v>
      </c>
      <c r="E219" s="268"/>
      <c r="F219" s="269" t="s">
        <v>23</v>
      </c>
      <c r="G219" s="270" t="s">
        <v>23</v>
      </c>
      <c r="H219" s="271" t="s">
        <v>1478</v>
      </c>
      <c r="I219" s="272">
        <v>25</v>
      </c>
      <c r="J219" s="272">
        <v>0</v>
      </c>
      <c r="K219" s="273" t="s">
        <v>23</v>
      </c>
    </row>
    <row r="220" spans="1:11" ht="12.3">
      <c r="A220" s="266">
        <v>42226</v>
      </c>
      <c r="B220" s="268" t="s">
        <v>1846</v>
      </c>
      <c r="C220" s="275">
        <v>5.9</v>
      </c>
      <c r="D220" s="268">
        <v>224</v>
      </c>
      <c r="E220" s="268"/>
      <c r="F220" s="269" t="s">
        <v>23</v>
      </c>
      <c r="G220" s="270" t="s">
        <v>23</v>
      </c>
      <c r="H220" s="271">
        <v>2</v>
      </c>
      <c r="I220" s="272"/>
      <c r="J220" s="272">
        <v>0</v>
      </c>
      <c r="K220" s="273" t="s">
        <v>23</v>
      </c>
    </row>
    <row r="221" spans="1:11" ht="12.3">
      <c r="A221" s="266">
        <v>42226</v>
      </c>
      <c r="B221" s="268" t="s">
        <v>1847</v>
      </c>
      <c r="C221" s="268">
        <v>4.2</v>
      </c>
      <c r="D221" s="268"/>
      <c r="E221" s="268"/>
      <c r="F221" s="269" t="s">
        <v>23</v>
      </c>
      <c r="G221" s="270" t="s">
        <v>23</v>
      </c>
      <c r="H221" s="271">
        <v>2</v>
      </c>
      <c r="I221" s="272"/>
      <c r="J221" s="272">
        <v>0</v>
      </c>
      <c r="K221" s="273" t="s">
        <v>23</v>
      </c>
    </row>
    <row r="222" spans="1:11" ht="12.3">
      <c r="A222" s="266">
        <v>42230</v>
      </c>
      <c r="B222" s="268" t="s">
        <v>1848</v>
      </c>
      <c r="C222" s="268" t="s">
        <v>1628</v>
      </c>
      <c r="D222" s="268"/>
      <c r="E222" s="268"/>
      <c r="F222" s="269" t="s">
        <v>23</v>
      </c>
      <c r="G222" s="270" t="s">
        <v>23</v>
      </c>
      <c r="H222" s="271">
        <v>1</v>
      </c>
      <c r="I222" s="272"/>
      <c r="J222" s="272">
        <v>0</v>
      </c>
      <c r="K222" s="273" t="s">
        <v>23</v>
      </c>
    </row>
    <row r="223" spans="1:11" ht="12.3">
      <c r="A223" s="266">
        <v>42233</v>
      </c>
      <c r="B223" s="268" t="s">
        <v>1849</v>
      </c>
      <c r="C223" s="274">
        <v>4</v>
      </c>
      <c r="D223" s="268">
        <v>5</v>
      </c>
      <c r="E223" s="268" t="s">
        <v>35</v>
      </c>
      <c r="F223" s="269" t="s">
        <v>23</v>
      </c>
      <c r="G223" s="270" t="s">
        <v>23</v>
      </c>
      <c r="H223" s="271">
        <v>1</v>
      </c>
      <c r="I223" s="272">
        <v>2</v>
      </c>
      <c r="J223" s="272">
        <v>0</v>
      </c>
      <c r="K223" s="273" t="s">
        <v>23</v>
      </c>
    </row>
    <row r="224" spans="1:11" ht="12.3">
      <c r="A224" s="266">
        <v>42233</v>
      </c>
      <c r="B224" s="268" t="s">
        <v>1850</v>
      </c>
      <c r="C224" s="274">
        <v>5</v>
      </c>
      <c r="D224" s="268"/>
      <c r="E224" s="268"/>
      <c r="F224" s="269" t="s">
        <v>23</v>
      </c>
      <c r="G224" s="270" t="s">
        <v>23</v>
      </c>
      <c r="H224" s="271">
        <v>1</v>
      </c>
      <c r="I224" s="272">
        <v>4</v>
      </c>
      <c r="J224" s="272">
        <v>0</v>
      </c>
      <c r="K224" s="273" t="s">
        <v>23</v>
      </c>
    </row>
    <row r="225" spans="1:11" ht="12.3">
      <c r="A225" s="266">
        <v>42234</v>
      </c>
      <c r="B225" s="268" t="s">
        <v>1540</v>
      </c>
      <c r="C225" s="274" t="s">
        <v>1820</v>
      </c>
      <c r="D225" s="268">
        <v>3</v>
      </c>
      <c r="E225" s="268"/>
      <c r="F225" s="269" t="s">
        <v>23</v>
      </c>
      <c r="G225" s="270" t="s">
        <v>23</v>
      </c>
      <c r="H225" s="271">
        <v>1</v>
      </c>
      <c r="I225" s="272">
        <v>7</v>
      </c>
      <c r="J225" s="272">
        <v>0</v>
      </c>
      <c r="K225" s="273" t="s">
        <v>23</v>
      </c>
    </row>
    <row r="226" spans="1:11" ht="12.3">
      <c r="A226" s="279">
        <v>42236</v>
      </c>
      <c r="B226" s="282" t="s">
        <v>1524</v>
      </c>
      <c r="C226" s="282">
        <v>4.8</v>
      </c>
      <c r="D226" s="282"/>
      <c r="E226" s="282"/>
      <c r="F226" s="269">
        <v>1</v>
      </c>
      <c r="G226" s="287" t="s">
        <v>23</v>
      </c>
      <c r="H226" s="283">
        <v>1</v>
      </c>
      <c r="I226" s="284">
        <v>0</v>
      </c>
      <c r="J226" s="284">
        <v>0</v>
      </c>
      <c r="K226" s="285" t="s">
        <v>23</v>
      </c>
    </row>
    <row r="227" spans="1:11" ht="12.3">
      <c r="A227" s="266">
        <v>42237</v>
      </c>
      <c r="B227" s="268" t="s">
        <v>1851</v>
      </c>
      <c r="C227" s="268">
        <v>4.2</v>
      </c>
      <c r="D227" s="268">
        <v>4</v>
      </c>
      <c r="E227" s="268"/>
      <c r="F227" s="269" t="s">
        <v>23</v>
      </c>
      <c r="G227" s="270" t="s">
        <v>23</v>
      </c>
      <c r="H227" s="271">
        <v>1</v>
      </c>
      <c r="I227" s="272">
        <v>5</v>
      </c>
      <c r="J227" s="272">
        <v>0</v>
      </c>
      <c r="K227" s="273" t="s">
        <v>23</v>
      </c>
    </row>
    <row r="228" spans="1:11" ht="12.3">
      <c r="A228" s="266">
        <v>42239</v>
      </c>
      <c r="B228" s="268" t="s">
        <v>1852</v>
      </c>
      <c r="C228" s="274">
        <v>6</v>
      </c>
      <c r="D228" s="268">
        <v>40</v>
      </c>
      <c r="E228" s="268" t="s">
        <v>35</v>
      </c>
      <c r="F228" s="269" t="s">
        <v>23</v>
      </c>
      <c r="G228" s="270" t="s">
        <v>23</v>
      </c>
      <c r="H228" s="271">
        <v>1</v>
      </c>
      <c r="I228" s="272">
        <v>1</v>
      </c>
      <c r="J228" s="272">
        <v>0</v>
      </c>
      <c r="K228" s="273" t="s">
        <v>23</v>
      </c>
    </row>
    <row r="229" spans="1:11" ht="12.3">
      <c r="A229" s="266">
        <v>42241</v>
      </c>
      <c r="B229" s="275" t="s">
        <v>1853</v>
      </c>
      <c r="C229" s="268">
        <v>4.5999999999999996</v>
      </c>
      <c r="D229" s="268">
        <v>10</v>
      </c>
      <c r="E229" s="268"/>
      <c r="F229" s="269" t="s">
        <v>23</v>
      </c>
      <c r="G229" s="270">
        <v>1</v>
      </c>
      <c r="H229" s="271">
        <v>1</v>
      </c>
      <c r="I229" s="272">
        <v>0</v>
      </c>
      <c r="J229" s="272">
        <v>0</v>
      </c>
      <c r="K229" s="273" t="s">
        <v>23</v>
      </c>
    </row>
    <row r="230" spans="1:11" ht="12.3">
      <c r="A230" s="266">
        <v>42242</v>
      </c>
      <c r="B230" s="268" t="s">
        <v>1603</v>
      </c>
      <c r="C230" s="268">
        <v>3.3</v>
      </c>
      <c r="D230" s="268">
        <v>15</v>
      </c>
      <c r="E230" s="268"/>
      <c r="F230" s="269" t="s">
        <v>23</v>
      </c>
      <c r="G230" s="270" t="s">
        <v>23</v>
      </c>
      <c r="H230" s="271">
        <v>1</v>
      </c>
      <c r="I230" s="272">
        <v>5</v>
      </c>
      <c r="J230" s="272">
        <v>0</v>
      </c>
      <c r="K230" s="273" t="s">
        <v>23</v>
      </c>
    </row>
    <row r="231" spans="1:11" ht="12.3">
      <c r="A231" s="266">
        <v>42244</v>
      </c>
      <c r="B231" s="268" t="s">
        <v>1797</v>
      </c>
      <c r="C231" s="268">
        <v>4.9000000000000004</v>
      </c>
      <c r="D231" s="268"/>
      <c r="E231" s="268"/>
      <c r="F231" s="269" t="s">
        <v>23</v>
      </c>
      <c r="G231" s="270" t="s">
        <v>23</v>
      </c>
      <c r="H231" s="271">
        <v>1</v>
      </c>
      <c r="I231" s="272"/>
      <c r="J231" s="272">
        <v>0</v>
      </c>
      <c r="K231" s="273" t="s">
        <v>23</v>
      </c>
    </row>
    <row r="232" spans="1:11" ht="12.3">
      <c r="A232" s="266">
        <v>42246</v>
      </c>
      <c r="B232" s="268" t="s">
        <v>1597</v>
      </c>
      <c r="C232" s="268">
        <v>4.7</v>
      </c>
      <c r="D232" s="268">
        <v>10</v>
      </c>
      <c r="E232" s="268"/>
      <c r="F232" s="269" t="s">
        <v>23</v>
      </c>
      <c r="G232" s="270" t="s">
        <v>23</v>
      </c>
      <c r="H232" s="271">
        <v>1</v>
      </c>
      <c r="I232" s="272">
        <v>10</v>
      </c>
      <c r="J232" s="272">
        <v>0</v>
      </c>
      <c r="K232" s="273" t="s">
        <v>23</v>
      </c>
    </row>
    <row r="233" spans="1:11" ht="12.3">
      <c r="A233" s="279">
        <v>42250</v>
      </c>
      <c r="B233" s="282" t="s">
        <v>1521</v>
      </c>
      <c r="C233" s="282">
        <v>4.4000000000000004</v>
      </c>
      <c r="D233" s="282"/>
      <c r="E233" s="282"/>
      <c r="F233" s="269">
        <v>1</v>
      </c>
      <c r="G233" s="287" t="s">
        <v>23</v>
      </c>
      <c r="H233" s="283">
        <v>1</v>
      </c>
      <c r="I233" s="284">
        <v>1</v>
      </c>
      <c r="J233" s="284">
        <v>0</v>
      </c>
      <c r="K233" s="285" t="s">
        <v>23</v>
      </c>
    </row>
    <row r="234" spans="1:11" ht="12.3">
      <c r="A234" s="279">
        <v>42251</v>
      </c>
      <c r="B234" s="282" t="s">
        <v>1854</v>
      </c>
      <c r="C234" s="282">
        <v>5.9</v>
      </c>
      <c r="D234" s="282">
        <v>13</v>
      </c>
      <c r="E234" s="282" t="s">
        <v>123</v>
      </c>
      <c r="F234" s="269">
        <v>1</v>
      </c>
      <c r="G234" s="287">
        <v>2</v>
      </c>
      <c r="H234" s="283">
        <v>3</v>
      </c>
      <c r="I234" s="284">
        <v>260</v>
      </c>
      <c r="J234" s="284">
        <v>3</v>
      </c>
      <c r="K234" s="285" t="s">
        <v>23</v>
      </c>
    </row>
    <row r="235" spans="1:11" ht="12.3">
      <c r="A235" s="266">
        <v>42251</v>
      </c>
      <c r="B235" s="268" t="s">
        <v>1692</v>
      </c>
      <c r="C235" s="268">
        <v>3.8</v>
      </c>
      <c r="D235" s="268">
        <v>34</v>
      </c>
      <c r="E235" s="268"/>
      <c r="F235" s="269" t="s">
        <v>23</v>
      </c>
      <c r="G235" s="270" t="s">
        <v>23</v>
      </c>
      <c r="H235" s="271">
        <v>1</v>
      </c>
      <c r="I235" s="272">
        <v>1</v>
      </c>
      <c r="J235" s="272">
        <v>0</v>
      </c>
      <c r="K235" s="273" t="s">
        <v>23</v>
      </c>
    </row>
    <row r="236" spans="1:11" ht="12.3">
      <c r="A236" s="266">
        <v>42252</v>
      </c>
      <c r="B236" s="268" t="s">
        <v>1855</v>
      </c>
      <c r="C236" s="268">
        <v>5.2</v>
      </c>
      <c r="D236" s="268"/>
      <c r="E236" s="268"/>
      <c r="F236" s="269" t="s">
        <v>23</v>
      </c>
      <c r="G236" s="270" t="s">
        <v>23</v>
      </c>
      <c r="H236" s="271">
        <v>2</v>
      </c>
      <c r="I236" s="272"/>
      <c r="J236" s="272">
        <v>0</v>
      </c>
      <c r="K236" s="273" t="s">
        <v>23</v>
      </c>
    </row>
    <row r="237" spans="1:11" ht="12.3">
      <c r="A237" s="266">
        <v>42253</v>
      </c>
      <c r="B237" s="275" t="s">
        <v>1477</v>
      </c>
      <c r="C237" s="268">
        <v>3.7</v>
      </c>
      <c r="D237" s="268">
        <v>14</v>
      </c>
      <c r="E237" s="268"/>
      <c r="F237" s="269" t="s">
        <v>23</v>
      </c>
      <c r="G237" s="270" t="s">
        <v>23</v>
      </c>
      <c r="H237" s="271">
        <v>3</v>
      </c>
      <c r="I237" s="272">
        <v>1102</v>
      </c>
      <c r="J237" s="272">
        <v>3</v>
      </c>
      <c r="K237" s="273" t="s">
        <v>23</v>
      </c>
    </row>
    <row r="238" spans="1:11" ht="12.3">
      <c r="A238" s="266">
        <v>42254</v>
      </c>
      <c r="B238" s="268" t="s">
        <v>1549</v>
      </c>
      <c r="C238" s="268"/>
      <c r="D238" s="268"/>
      <c r="E238" s="268"/>
      <c r="F238" s="269" t="s">
        <v>23</v>
      </c>
      <c r="G238" s="270" t="s">
        <v>23</v>
      </c>
      <c r="H238" s="271" t="s">
        <v>1478</v>
      </c>
      <c r="I238" s="272"/>
      <c r="J238" s="272">
        <v>0</v>
      </c>
      <c r="K238" s="273" t="s">
        <v>23</v>
      </c>
    </row>
    <row r="239" spans="1:11" ht="12.3">
      <c r="A239" s="266">
        <v>42256</v>
      </c>
      <c r="B239" s="268" t="s">
        <v>1603</v>
      </c>
      <c r="C239" s="268"/>
      <c r="D239" s="268"/>
      <c r="E239" s="268"/>
      <c r="F239" s="269" t="s">
        <v>23</v>
      </c>
      <c r="G239" s="270" t="s">
        <v>23</v>
      </c>
      <c r="H239" s="271">
        <v>1</v>
      </c>
      <c r="I239" s="272"/>
      <c r="J239" s="272">
        <v>0</v>
      </c>
      <c r="K239" s="273" t="s">
        <v>23</v>
      </c>
    </row>
    <row r="240" spans="1:11" ht="12.3">
      <c r="A240" s="266">
        <v>42258</v>
      </c>
      <c r="B240" s="275" t="s">
        <v>1856</v>
      </c>
      <c r="C240" s="268">
        <v>5.3</v>
      </c>
      <c r="D240" s="268">
        <v>70</v>
      </c>
      <c r="E240" s="268" t="s">
        <v>1503</v>
      </c>
      <c r="F240" s="269" t="s">
        <v>23</v>
      </c>
      <c r="G240" s="270">
        <v>16</v>
      </c>
      <c r="H240" s="271">
        <v>1</v>
      </c>
      <c r="I240" s="272">
        <v>2</v>
      </c>
      <c r="J240" s="272">
        <v>0</v>
      </c>
      <c r="K240" s="273" t="s">
        <v>23</v>
      </c>
    </row>
    <row r="241" spans="1:11" ht="12.3">
      <c r="A241" s="266">
        <v>42259</v>
      </c>
      <c r="B241" s="275" t="s">
        <v>1693</v>
      </c>
      <c r="C241" s="268">
        <v>4.3</v>
      </c>
      <c r="D241" s="268">
        <v>15</v>
      </c>
      <c r="E241" s="268"/>
      <c r="F241" s="269" t="s">
        <v>23</v>
      </c>
      <c r="G241" s="270" t="s">
        <v>23</v>
      </c>
      <c r="H241" s="271" t="s">
        <v>1511</v>
      </c>
      <c r="I241" s="272">
        <v>20</v>
      </c>
      <c r="J241" s="272">
        <v>5</v>
      </c>
      <c r="K241" s="273" t="s">
        <v>23</v>
      </c>
    </row>
    <row r="242" spans="1:11" ht="12.3">
      <c r="A242" s="266">
        <v>42261</v>
      </c>
      <c r="B242" s="275" t="s">
        <v>1857</v>
      </c>
      <c r="C242" s="268">
        <v>4.2</v>
      </c>
      <c r="D242" s="268">
        <v>14</v>
      </c>
      <c r="E242" s="268" t="s">
        <v>35</v>
      </c>
      <c r="F242" s="269" t="s">
        <v>23</v>
      </c>
      <c r="G242" s="270" t="s">
        <v>23</v>
      </c>
      <c r="H242" s="271">
        <v>3</v>
      </c>
      <c r="I242" s="272"/>
      <c r="J242" s="272"/>
      <c r="K242" s="273" t="s">
        <v>23</v>
      </c>
    </row>
    <row r="243" spans="1:11" ht="12.3">
      <c r="A243" s="266">
        <v>42261</v>
      </c>
      <c r="B243" s="275" t="s">
        <v>1693</v>
      </c>
      <c r="C243" s="268">
        <v>4.9000000000000004</v>
      </c>
      <c r="D243" s="268">
        <v>12</v>
      </c>
      <c r="E243" s="268"/>
      <c r="F243" s="269" t="s">
        <v>23</v>
      </c>
      <c r="G243" s="270" t="s">
        <v>23</v>
      </c>
      <c r="H243" s="271">
        <v>3</v>
      </c>
      <c r="I243" s="272">
        <v>524</v>
      </c>
      <c r="J243" s="272"/>
      <c r="K243" s="273" t="s">
        <v>23</v>
      </c>
    </row>
    <row r="244" spans="1:11" ht="12.3">
      <c r="A244" s="266">
        <v>42262</v>
      </c>
      <c r="B244" s="268" t="s">
        <v>1858</v>
      </c>
      <c r="C244" s="268">
        <v>2.9</v>
      </c>
      <c r="D244" s="268">
        <v>2</v>
      </c>
      <c r="E244" s="268" t="s">
        <v>1364</v>
      </c>
      <c r="F244" s="269" t="s">
        <v>23</v>
      </c>
      <c r="G244" s="270" t="s">
        <v>23</v>
      </c>
      <c r="H244" s="271">
        <v>1</v>
      </c>
      <c r="I244" s="272">
        <v>2</v>
      </c>
      <c r="J244" s="272">
        <v>0</v>
      </c>
      <c r="K244" s="273" t="s">
        <v>23</v>
      </c>
    </row>
    <row r="245" spans="1:11" ht="12.3">
      <c r="A245" s="266">
        <v>42263</v>
      </c>
      <c r="B245" s="267" t="str">
        <f>HYPERLINK("http://earthquake-report.com/2015/09/16/earthquakes-in-the-world-on-september-16-2015-m2-9-or-more/","Mexico, Sinaloa")</f>
        <v>Mexico, Sinaloa</v>
      </c>
      <c r="C245" s="268">
        <v>4.5</v>
      </c>
      <c r="D245" s="268">
        <v>12</v>
      </c>
      <c r="E245" s="268"/>
      <c r="F245" s="269" t="s">
        <v>23</v>
      </c>
      <c r="G245" s="270" t="s">
        <v>23</v>
      </c>
      <c r="H245" s="271">
        <v>2</v>
      </c>
      <c r="I245" s="272">
        <v>20</v>
      </c>
      <c r="J245" s="272">
        <v>0</v>
      </c>
      <c r="K245" s="273" t="s">
        <v>23</v>
      </c>
    </row>
    <row r="246" spans="1:11" ht="12.3">
      <c r="A246" s="279">
        <v>42263</v>
      </c>
      <c r="B246" s="280" t="str">
        <f>HYPERLINK("http://wp.me/p1bAUO-Fuy","OS Chile, Coquimbo")</f>
        <v>OS Chile, Coquimbo</v>
      </c>
      <c r="C246" s="282">
        <v>8.3000000000000007</v>
      </c>
      <c r="D246" s="282">
        <v>25</v>
      </c>
      <c r="E246" s="282" t="s">
        <v>363</v>
      </c>
      <c r="F246" s="269">
        <v>16</v>
      </c>
      <c r="G246" s="287">
        <v>14</v>
      </c>
      <c r="H246" s="283">
        <v>5</v>
      </c>
      <c r="I246" s="284">
        <v>4800</v>
      </c>
      <c r="J246" s="284">
        <v>2872</v>
      </c>
      <c r="K246" s="285" t="s">
        <v>1859</v>
      </c>
    </row>
    <row r="247" spans="1:11" ht="12.3">
      <c r="A247" s="266">
        <v>42265</v>
      </c>
      <c r="B247" s="277" t="str">
        <f>HYPERLINK("http://earthquake-report.com/2015/09/18/moderate-earthquake-colombia-on-september-18-2015/","Colombia, Valle del Cauca")</f>
        <v>Colombia, Valle del Cauca</v>
      </c>
      <c r="C247" s="268">
        <v>4.7</v>
      </c>
      <c r="D247" s="268">
        <v>4</v>
      </c>
      <c r="E247" s="268"/>
      <c r="F247" s="269" t="s">
        <v>23</v>
      </c>
      <c r="G247" s="270">
        <v>1</v>
      </c>
      <c r="H247" s="271" t="s">
        <v>1478</v>
      </c>
      <c r="I247" s="272">
        <v>5</v>
      </c>
      <c r="J247" s="272">
        <v>0</v>
      </c>
      <c r="K247" s="273" t="s">
        <v>23</v>
      </c>
    </row>
    <row r="248" spans="1:11" ht="12.3">
      <c r="A248" s="266">
        <v>42267</v>
      </c>
      <c r="B248" s="267" t="str">
        <f>HYPERLINK("http://earthquake-report.com/2015/09/20/earthquakes-in-the-world-on-september-20-2015-m2-9-or-more/","Brazil, Rio Grande do Norte")</f>
        <v>Brazil, Rio Grande do Norte</v>
      </c>
      <c r="C248" s="268">
        <v>3.6</v>
      </c>
      <c r="D248" s="268"/>
      <c r="E248" s="268"/>
      <c r="F248" s="269" t="s">
        <v>23</v>
      </c>
      <c r="G248" s="270" t="s">
        <v>23</v>
      </c>
      <c r="H248" s="271">
        <v>1</v>
      </c>
      <c r="I248" s="272"/>
      <c r="J248" s="272">
        <v>0</v>
      </c>
      <c r="K248" s="273" t="s">
        <v>23</v>
      </c>
    </row>
    <row r="249" spans="1:11" ht="12.3">
      <c r="A249" s="266">
        <v>42269</v>
      </c>
      <c r="B249" s="267" t="str">
        <f>HYPERLINK("http://earthquake-report.com/2015/09/22/earthquakes-in-the-world-on-september-22-2015-m2-9-or-more/","China, Sichuan")</f>
        <v>China, Sichuan</v>
      </c>
      <c r="C249" s="274">
        <v>4</v>
      </c>
      <c r="D249" s="268">
        <v>11</v>
      </c>
      <c r="E249" s="268"/>
      <c r="F249" s="269" t="s">
        <v>23</v>
      </c>
      <c r="G249" s="270" t="s">
        <v>23</v>
      </c>
      <c r="H249" s="271">
        <v>1</v>
      </c>
      <c r="I249" s="272">
        <v>2</v>
      </c>
      <c r="J249" s="272">
        <v>0</v>
      </c>
      <c r="K249" s="273" t="s">
        <v>23</v>
      </c>
    </row>
    <row r="250" spans="1:11" ht="12.3">
      <c r="A250" s="266">
        <v>42271</v>
      </c>
      <c r="B250" s="267" t="str">
        <f>HYPERLINK("http://earthquake-report.com/2015/09/24/earthquakes-in-the-world-on-september-24-2015-m4-5-or-more/","Mexico, Chihuahua (Juarez Area)")</f>
        <v>Mexico, Chihuahua (Juarez Area)</v>
      </c>
      <c r="C250" s="268"/>
      <c r="D250" s="268"/>
      <c r="E250" s="268"/>
      <c r="F250" s="269" t="s">
        <v>23</v>
      </c>
      <c r="G250" s="270" t="s">
        <v>23</v>
      </c>
      <c r="H250" s="271">
        <v>1</v>
      </c>
      <c r="I250" s="272">
        <v>1</v>
      </c>
      <c r="J250" s="272">
        <v>0</v>
      </c>
      <c r="K250" s="273" t="s">
        <v>23</v>
      </c>
    </row>
    <row r="251" spans="1:11" ht="12.3">
      <c r="A251" s="266">
        <v>42271</v>
      </c>
      <c r="B251" s="277" t="str">
        <f>HYPERLINK("http://earthquake-report.com/2015/09/24/very-strong-earthquake-irian-jaya-region-indonesia-on-september-24-2015/","OS Indonesia, Papua-Barat")</f>
        <v>OS Indonesia, Papua-Barat</v>
      </c>
      <c r="C251" s="275">
        <v>6.8</v>
      </c>
      <c r="D251" s="268">
        <v>24</v>
      </c>
      <c r="E251" s="268" t="s">
        <v>123</v>
      </c>
      <c r="F251" s="269" t="s">
        <v>23</v>
      </c>
      <c r="G251" s="270">
        <v>45</v>
      </c>
      <c r="H251" s="271">
        <v>4</v>
      </c>
      <c r="I251" s="272">
        <v>2889</v>
      </c>
      <c r="J251" s="272"/>
      <c r="K251" s="273" t="s">
        <v>23</v>
      </c>
    </row>
    <row r="252" spans="1:11" ht="12.3">
      <c r="A252" s="266">
        <v>42272</v>
      </c>
      <c r="B252" s="267" t="str">
        <f>HYPERLINK("http://earthquake-report.com/2015/09/25/moderate-earthquake-cushing-oklahoma-on-september-25-2015/","USA, Oklahoma")</f>
        <v>USA, Oklahoma</v>
      </c>
      <c r="C252" s="274" t="s">
        <v>1810</v>
      </c>
      <c r="D252" s="268"/>
      <c r="E252" s="268"/>
      <c r="F252" s="269" t="s">
        <v>23</v>
      </c>
      <c r="G252" s="270" t="s">
        <v>23</v>
      </c>
      <c r="H252" s="271">
        <v>1</v>
      </c>
      <c r="I252" s="272">
        <v>3</v>
      </c>
      <c r="J252" s="272">
        <v>0</v>
      </c>
      <c r="K252" s="273" t="s">
        <v>23</v>
      </c>
    </row>
    <row r="253" spans="1:11" ht="12.3">
      <c r="A253" s="266">
        <v>42272</v>
      </c>
      <c r="B253" s="267" t="str">
        <f>HYPERLINK("http://earthquake-report.com/2015/09/25/moderate-earthquake-java-indonesia-on-september-25-2015/","Indonesia, Yogjakarta")</f>
        <v>Indonesia, Yogjakarta</v>
      </c>
      <c r="C253" s="268">
        <v>4.5999999999999996</v>
      </c>
      <c r="D253" s="268">
        <v>5</v>
      </c>
      <c r="E253" s="268"/>
      <c r="F253" s="269" t="s">
        <v>23</v>
      </c>
      <c r="G253" s="270" t="s">
        <v>23</v>
      </c>
      <c r="H253" s="271">
        <v>1</v>
      </c>
      <c r="I253" s="272">
        <v>7</v>
      </c>
      <c r="J253" s="272">
        <v>0</v>
      </c>
      <c r="K253" s="273" t="s">
        <v>23</v>
      </c>
    </row>
    <row r="254" spans="1:11" ht="12.3">
      <c r="A254" s="266">
        <v>42273</v>
      </c>
      <c r="B254" s="267" t="str">
        <f>HYPERLINK("http://earthquake-report.com/2015/09/26/earthquakes-in-the-world-on-september-26-2015-m2-9-or-more/","India, Madhya Pradesh")</f>
        <v>India, Madhya Pradesh</v>
      </c>
      <c r="C254" s="268"/>
      <c r="D254" s="268"/>
      <c r="E254" s="268"/>
      <c r="F254" s="269" t="s">
        <v>23</v>
      </c>
      <c r="G254" s="270" t="s">
        <v>23</v>
      </c>
      <c r="H254" s="271">
        <v>1</v>
      </c>
      <c r="I254" s="272"/>
      <c r="J254" s="272">
        <v>0</v>
      </c>
      <c r="K254" s="273" t="s">
        <v>23</v>
      </c>
    </row>
    <row r="255" spans="1:11" ht="12.3">
      <c r="A255" s="266">
        <v>42273</v>
      </c>
      <c r="B255" s="267" t="str">
        <f>HYPERLINK("http://earthquake-report.com/2015/09/26/earthquakes-in-the-world-on-september-26-2015-m2-9-or-more/","India, Odisha")</f>
        <v>India, Odisha</v>
      </c>
      <c r="C255" s="268">
        <v>3.2</v>
      </c>
      <c r="D255" s="268"/>
      <c r="E255" s="268"/>
      <c r="F255" s="269" t="s">
        <v>23</v>
      </c>
      <c r="G255" s="270" t="s">
        <v>23</v>
      </c>
      <c r="H255" s="271">
        <v>1</v>
      </c>
      <c r="I255" s="272"/>
      <c r="J255" s="272">
        <v>0</v>
      </c>
      <c r="K255" s="273" t="s">
        <v>23</v>
      </c>
    </row>
    <row r="256" spans="1:11" ht="12.3">
      <c r="A256" s="266">
        <v>42275</v>
      </c>
      <c r="B256" s="267" t="str">
        <f>HYPERLINK("http://earthquake-report.com/2015/09/28/moderate-earthquake-tumbes-peru-on-september-28-2015/","OS Peru, Tumbes")</f>
        <v>OS Peru, Tumbes</v>
      </c>
      <c r="C256" s="268">
        <v>4.9000000000000004</v>
      </c>
      <c r="D256" s="268"/>
      <c r="E256" s="268"/>
      <c r="F256" s="269" t="s">
        <v>23</v>
      </c>
      <c r="G256" s="270" t="s">
        <v>23</v>
      </c>
      <c r="H256" s="271">
        <v>2</v>
      </c>
      <c r="I256" s="272">
        <v>350</v>
      </c>
      <c r="J256" s="272">
        <v>0</v>
      </c>
      <c r="K256" s="273" t="s">
        <v>23</v>
      </c>
    </row>
    <row r="257" spans="1:11" ht="12.3">
      <c r="A257" s="266">
        <v>42276</v>
      </c>
      <c r="B257" s="267" t="str">
        <f>HYPERLINK("http://earthquake-report.com/2015/09/29/earthquakes-in-the-world-on-september-29-2015-m2-9-or-more/","India, Uttarakhand")</f>
        <v>India, Uttarakhand</v>
      </c>
      <c r="C257" s="268">
        <v>4.8</v>
      </c>
      <c r="D257" s="268"/>
      <c r="E257" s="268"/>
      <c r="F257" s="269" t="s">
        <v>23</v>
      </c>
      <c r="G257" s="270" t="s">
        <v>23</v>
      </c>
      <c r="H257" s="271">
        <v>1</v>
      </c>
      <c r="I257" s="272"/>
      <c r="J257" s="272">
        <v>1</v>
      </c>
      <c r="K257" s="273" t="s">
        <v>23</v>
      </c>
    </row>
    <row r="258" spans="1:11" ht="12.3">
      <c r="A258" s="266">
        <v>42277</v>
      </c>
      <c r="B258" s="267" t="str">
        <f>HYPERLINK("http://earthquake-report.com/2015/09/30/earthquakes-in-the-world-on-september-30-2015-m2-9-or-more/","El Salvador, La Union")</f>
        <v>El Salvador, La Union</v>
      </c>
      <c r="C258" s="268">
        <v>4.4000000000000004</v>
      </c>
      <c r="D258" s="268">
        <v>20</v>
      </c>
      <c r="E258" s="268" t="s">
        <v>1364</v>
      </c>
      <c r="F258" s="269" t="s">
        <v>23</v>
      </c>
      <c r="G258" s="270" t="s">
        <v>23</v>
      </c>
      <c r="H258" s="271" t="s">
        <v>1478</v>
      </c>
      <c r="I258" s="272">
        <v>10</v>
      </c>
      <c r="J258" s="272">
        <v>0</v>
      </c>
      <c r="K258" s="273" t="s">
        <v>23</v>
      </c>
    </row>
    <row r="259" spans="1:11" ht="12.3">
      <c r="A259" s="266">
        <v>42277</v>
      </c>
      <c r="B259" s="267" t="str">
        <f>HYPERLINK("http://earthquake-report.com/2015/09/30/minor-earthquake-poland-on-september-30-2015/","Poland, Lesser Poland")</f>
        <v>Poland, Lesser Poland</v>
      </c>
      <c r="C259" s="268" t="s">
        <v>1771</v>
      </c>
      <c r="D259" s="268">
        <v>0.6</v>
      </c>
      <c r="E259" s="268" t="s">
        <v>35</v>
      </c>
      <c r="F259" s="269" t="s">
        <v>23</v>
      </c>
      <c r="G259" s="270" t="s">
        <v>23</v>
      </c>
      <c r="H259" s="271">
        <v>2</v>
      </c>
      <c r="I259" s="272">
        <v>135</v>
      </c>
      <c r="J259" s="272">
        <v>0</v>
      </c>
      <c r="K259" s="273" t="s">
        <v>23</v>
      </c>
    </row>
    <row r="260" spans="1:11" ht="12.3">
      <c r="A260" s="266">
        <v>42277</v>
      </c>
      <c r="B260" s="267" t="str">
        <f>HYPERLINK("http://earthquake-report.com/2015/09/30/strong-earthquake-near-coast-of-guerrero-mexico-on-september-30-2015/","Mexico, Guerrero")</f>
        <v>Mexico, Guerrero</v>
      </c>
      <c r="C260" s="268">
        <v>5.5</v>
      </c>
      <c r="D260" s="268">
        <v>30</v>
      </c>
      <c r="E260" s="268"/>
      <c r="F260" s="269" t="s">
        <v>23</v>
      </c>
      <c r="G260" s="270" t="s">
        <v>23</v>
      </c>
      <c r="H260" s="271">
        <v>1</v>
      </c>
      <c r="I260" s="272">
        <v>1</v>
      </c>
      <c r="J260" s="272">
        <v>0</v>
      </c>
      <c r="K260" s="273" t="s">
        <v>23</v>
      </c>
    </row>
    <row r="261" spans="1:11" ht="12.3">
      <c r="A261" s="266">
        <v>42277</v>
      </c>
      <c r="B261" s="267" t="str">
        <f>HYPERLINK("http://earthquake-report.com/2015/09/30/earthquakes-in-the-world-on-september-30-2015-m2-9-or-more/","Netherlands, Groningen")</f>
        <v>Netherlands, Groningen</v>
      </c>
      <c r="C261" s="268" t="s">
        <v>1822</v>
      </c>
      <c r="D261" s="268"/>
      <c r="E261" s="268"/>
      <c r="F261" s="269" t="s">
        <v>23</v>
      </c>
      <c r="G261" s="270" t="s">
        <v>23</v>
      </c>
      <c r="H261" s="271" t="s">
        <v>1478</v>
      </c>
      <c r="I261" s="272">
        <v>1240</v>
      </c>
      <c r="J261" s="272">
        <v>0</v>
      </c>
      <c r="K261" s="273" t="s">
        <v>23</v>
      </c>
    </row>
    <row r="262" spans="1:11" ht="12.3">
      <c r="A262" s="266">
        <v>42277</v>
      </c>
      <c r="B262" s="267" t="str">
        <f>HYPERLINK("http://earthquake-report.com/2015/09/30/earthquakes-in-the-world-on-september-30-2015-m2-9-or-more/","Netherlands, Drenthe")</f>
        <v>Netherlands, Drenthe</v>
      </c>
      <c r="C262" s="268" t="s">
        <v>1794</v>
      </c>
      <c r="D262" s="268"/>
      <c r="E262" s="268"/>
      <c r="F262" s="269" t="s">
        <v>23</v>
      </c>
      <c r="G262" s="270" t="s">
        <v>23</v>
      </c>
      <c r="H262" s="271">
        <v>1</v>
      </c>
      <c r="I262" s="272">
        <v>53</v>
      </c>
      <c r="J262" s="272">
        <v>0</v>
      </c>
      <c r="K262" s="273" t="s">
        <v>23</v>
      </c>
    </row>
    <row r="263" spans="1:11" ht="12.3">
      <c r="A263" s="266">
        <v>42280</v>
      </c>
      <c r="B263" s="267" t="str">
        <f>HYPERLINK("http://earthquake-report.com/2015/10/03/very-strong-earthquake-near-coast-of-central-chile-on-october-3-2015/","Chile, Coquimbo (aftershock)")</f>
        <v>Chile, Coquimbo (aftershock)</v>
      </c>
      <c r="C263" s="278">
        <v>6</v>
      </c>
      <c r="D263" s="268"/>
      <c r="E263" s="268" t="s">
        <v>35</v>
      </c>
      <c r="F263" s="269" t="s">
        <v>23</v>
      </c>
      <c r="G263" s="270" t="s">
        <v>23</v>
      </c>
      <c r="H263" s="271">
        <v>1</v>
      </c>
      <c r="I263" s="272">
        <v>1</v>
      </c>
      <c r="J263" s="272">
        <v>0</v>
      </c>
      <c r="K263" s="273" t="s">
        <v>23</v>
      </c>
    </row>
    <row r="264" spans="1:11" ht="12.3">
      <c r="A264" s="266">
        <v>42283</v>
      </c>
      <c r="B264" s="267" t="str">
        <f>HYPERLINK("http://wp.me/p1bAUO-G5b","Turkey, Antalya")</f>
        <v>Turkey, Antalya</v>
      </c>
      <c r="C264" s="268">
        <v>5.2</v>
      </c>
      <c r="D264" s="268">
        <v>20</v>
      </c>
      <c r="E264" s="268"/>
      <c r="F264" s="269" t="s">
        <v>23</v>
      </c>
      <c r="G264" s="270" t="s">
        <v>23</v>
      </c>
      <c r="H264" s="271">
        <v>1</v>
      </c>
      <c r="I264" s="272">
        <v>1</v>
      </c>
      <c r="J264" s="272">
        <v>0</v>
      </c>
      <c r="K264" s="273" t="s">
        <v>23</v>
      </c>
    </row>
    <row r="265" spans="1:11" ht="12.3">
      <c r="A265" s="266">
        <v>42286</v>
      </c>
      <c r="B265" s="267" t="str">
        <f>HYPERLINK("http://earthquake-report.com/2015/10/09/earthquakes-in-the-world-on-october-09-2015-m2-9-or-more/","Brazil, Ceara")</f>
        <v>Brazil, Ceara</v>
      </c>
      <c r="C265" s="268">
        <v>3.3</v>
      </c>
      <c r="D265" s="268"/>
      <c r="E265" s="268"/>
      <c r="F265" s="269" t="s">
        <v>23</v>
      </c>
      <c r="G265" s="270" t="s">
        <v>23</v>
      </c>
      <c r="H265" s="271">
        <v>1</v>
      </c>
      <c r="I265" s="272"/>
      <c r="J265" s="272">
        <v>0</v>
      </c>
      <c r="K265" s="273" t="s">
        <v>23</v>
      </c>
    </row>
    <row r="266" spans="1:11" ht="12.3">
      <c r="A266" s="266">
        <v>42286</v>
      </c>
      <c r="B266" s="277" t="str">
        <f>HYPERLINK("http://earthquake-report.com/2015/10/09/moderate-earthquake-near-coast-of-ecuador-on-october-9-2015-2/","Turkey, Tokat")</f>
        <v>Turkey, Tokat</v>
      </c>
      <c r="C266" s="268">
        <v>5.0999999999999996</v>
      </c>
      <c r="D266" s="268"/>
      <c r="E266" s="268"/>
      <c r="F266" s="269" t="s">
        <v>23</v>
      </c>
      <c r="G266" s="270">
        <v>1</v>
      </c>
      <c r="H266" s="271">
        <v>2</v>
      </c>
      <c r="I266" s="272"/>
      <c r="J266" s="272">
        <v>0</v>
      </c>
      <c r="K266" s="273" t="s">
        <v>23</v>
      </c>
    </row>
    <row r="267" spans="1:11" ht="12.3">
      <c r="A267" s="266">
        <v>42287</v>
      </c>
      <c r="B267" s="267" t="str">
        <f>HYPERLINK("http://wp.me/p1bAUO-G8P","USA, Oklahoma")</f>
        <v>USA, Oklahoma</v>
      </c>
      <c r="C267" s="268" t="s">
        <v>1840</v>
      </c>
      <c r="D267" s="268"/>
      <c r="E267" s="268" t="s">
        <v>134</v>
      </c>
      <c r="F267" s="269" t="s">
        <v>23</v>
      </c>
      <c r="G267" s="270" t="s">
        <v>23</v>
      </c>
      <c r="H267" s="271" t="s">
        <v>1478</v>
      </c>
      <c r="I267" s="272"/>
      <c r="J267" s="272">
        <v>0</v>
      </c>
      <c r="K267" s="273" t="s">
        <v>23</v>
      </c>
    </row>
    <row r="268" spans="1:11" ht="12.3">
      <c r="A268" s="266">
        <v>42287</v>
      </c>
      <c r="B268" s="267" t="str">
        <f>HYPERLINK("http://earthquake-report.com/2015/10/10/moderate-earthquake-cushing-oklahoma-on-october-10-2015/","USA, Oklahoma")</f>
        <v>USA, Oklahoma</v>
      </c>
      <c r="C268" s="268" t="s">
        <v>1717</v>
      </c>
      <c r="D268" s="268"/>
      <c r="E268" s="268" t="s">
        <v>35</v>
      </c>
      <c r="F268" s="269" t="s">
        <v>23</v>
      </c>
      <c r="G268" s="270" t="s">
        <v>23</v>
      </c>
      <c r="H268" s="271" t="s">
        <v>1478</v>
      </c>
      <c r="I268" s="272"/>
      <c r="J268" s="272">
        <v>0</v>
      </c>
      <c r="K268" s="273" t="s">
        <v>23</v>
      </c>
    </row>
    <row r="269" spans="1:11" ht="12.3">
      <c r="A269" s="266">
        <v>42288</v>
      </c>
      <c r="B269" s="267" t="str">
        <f>HYPERLINK("http://earthquake-report.com/2015/10/11/earthquakes-in-the-world-on-october-11-2015-m2-9-or-more/","Nicaragua, Leon")</f>
        <v>Nicaragua, Leon</v>
      </c>
      <c r="C269" s="268">
        <v>4.4000000000000004</v>
      </c>
      <c r="D269" s="268">
        <v>15</v>
      </c>
      <c r="E269" s="268"/>
      <c r="F269" s="269" t="s">
        <v>23</v>
      </c>
      <c r="G269" s="270" t="s">
        <v>23</v>
      </c>
      <c r="H269" s="271">
        <v>1</v>
      </c>
      <c r="I269" s="272"/>
      <c r="J269" s="272">
        <v>0</v>
      </c>
      <c r="K269" s="273" t="s">
        <v>23</v>
      </c>
    </row>
    <row r="270" spans="1:11" ht="12.3">
      <c r="A270" s="266">
        <v>42289</v>
      </c>
      <c r="B270" s="267" t="str">
        <f>HYPERLINK("http://earthquake-report.com/2015/10/12/moderate-earthquake-qumong-china-on-october-12-2015/","China, Qinghai")</f>
        <v>China, Qinghai</v>
      </c>
      <c r="C270" s="268">
        <v>5.2</v>
      </c>
      <c r="D270" s="268"/>
      <c r="E270" s="268"/>
      <c r="F270" s="269" t="s">
        <v>23</v>
      </c>
      <c r="G270" s="270" t="s">
        <v>23</v>
      </c>
      <c r="H270" s="271">
        <v>1</v>
      </c>
      <c r="I270" s="272">
        <v>2</v>
      </c>
      <c r="J270" s="272">
        <v>0</v>
      </c>
      <c r="K270" s="273" t="s">
        <v>23</v>
      </c>
    </row>
    <row r="271" spans="1:11" ht="12.3">
      <c r="A271" s="266">
        <v>42289</v>
      </c>
      <c r="B271" s="277" t="str">
        <f>HYPERLINK("http://earthquake-report.com/2015/10/12/moderate-earthquake-turkmenistan-iran-border-region-on-october-12-2015/","Turkmenistan, Ahal Welayaty")</f>
        <v>Turkmenistan, Ahal Welayaty</v>
      </c>
      <c r="C271" s="268">
        <v>5.3</v>
      </c>
      <c r="D271" s="268">
        <v>6</v>
      </c>
      <c r="E271" s="268"/>
      <c r="F271" s="269"/>
      <c r="G271" s="270"/>
      <c r="H271" s="271">
        <v>3</v>
      </c>
      <c r="I271" s="272">
        <v>419</v>
      </c>
      <c r="J271" s="272">
        <v>14</v>
      </c>
      <c r="K271" s="273" t="s">
        <v>23</v>
      </c>
    </row>
    <row r="272" spans="1:11" ht="12.3">
      <c r="A272" s="266">
        <v>42291</v>
      </c>
      <c r="B272" s="267" t="str">
        <f>HYPERLINK("http://earthquake-report.com/2015/10/14/moderate-earthquake-northern-colombia-on-october-14-2015/","Colombia, Santander")</f>
        <v>Colombia, Santander</v>
      </c>
      <c r="C272" s="268">
        <v>5.3</v>
      </c>
      <c r="D272" s="268">
        <v>118</v>
      </c>
      <c r="E272" s="268" t="s">
        <v>134</v>
      </c>
      <c r="F272" s="269" t="s">
        <v>23</v>
      </c>
      <c r="G272" s="270" t="s">
        <v>23</v>
      </c>
      <c r="H272" s="271">
        <v>1</v>
      </c>
      <c r="I272" s="272"/>
      <c r="J272" s="272">
        <v>0</v>
      </c>
      <c r="K272" s="273" t="s">
        <v>23</v>
      </c>
    </row>
    <row r="273" spans="1:11" ht="12.3">
      <c r="A273" s="266">
        <v>42292</v>
      </c>
      <c r="B273" s="267" t="str">
        <f>HYPERLINK("http://earthquake-report.com/2015/10/15/moderate-earthquake-ecuador-on-october-15-2015/","Ecuador, Canar")</f>
        <v>Ecuador, Canar</v>
      </c>
      <c r="C273" s="275">
        <v>5.6</v>
      </c>
      <c r="D273" s="268">
        <v>87</v>
      </c>
      <c r="E273" s="268"/>
      <c r="F273" s="269" t="s">
        <v>23</v>
      </c>
      <c r="G273" s="270" t="s">
        <v>23</v>
      </c>
      <c r="H273" s="271" t="s">
        <v>1478</v>
      </c>
      <c r="I273" s="272"/>
      <c r="J273" s="272">
        <v>0</v>
      </c>
      <c r="K273" s="273" t="s">
        <v>23</v>
      </c>
    </row>
    <row r="274" spans="1:11" ht="12.3">
      <c r="A274" s="279">
        <v>42294</v>
      </c>
      <c r="B274" s="280" t="str">
        <f>HYPERLINK("http://earthquake-report.com/2015/10/17/strong-earthquake-salta-province-argentina-on-october-17-2015/","Argentina, Salta")</f>
        <v>Argentina, Salta</v>
      </c>
      <c r="C274" s="282">
        <v>5.9</v>
      </c>
      <c r="D274" s="282">
        <v>18</v>
      </c>
      <c r="E274" s="282" t="s">
        <v>35</v>
      </c>
      <c r="F274" s="269">
        <v>1</v>
      </c>
      <c r="G274" s="287">
        <v>53</v>
      </c>
      <c r="H274" s="283" t="s">
        <v>1508</v>
      </c>
      <c r="I274" s="284">
        <v>373</v>
      </c>
      <c r="J274" s="284">
        <v>25</v>
      </c>
      <c r="K274" s="285" t="s">
        <v>23</v>
      </c>
    </row>
    <row r="275" spans="1:11" ht="12.3">
      <c r="A275" s="266">
        <v>42295</v>
      </c>
      <c r="B275" s="267" t="str">
        <f>HYPERLINK("http://earthquake-report.com/2015/10/18/earthquakes-in-the-world-on-october-18-2015-m2-9-or-more/","Iran, Kerman")</f>
        <v>Iran, Kerman</v>
      </c>
      <c r="C275" s="268">
        <v>4.4000000000000004</v>
      </c>
      <c r="D275" s="268">
        <v>10</v>
      </c>
      <c r="E275" s="268"/>
      <c r="F275" s="269" t="s">
        <v>23</v>
      </c>
      <c r="G275" s="270" t="s">
        <v>23</v>
      </c>
      <c r="H275" s="271">
        <v>1</v>
      </c>
      <c r="I275" s="272"/>
      <c r="J275" s="272">
        <v>0</v>
      </c>
      <c r="K275" s="273" t="s">
        <v>23</v>
      </c>
    </row>
    <row r="276" spans="1:11" ht="12.3">
      <c r="A276" s="266">
        <v>42295</v>
      </c>
      <c r="B276" s="267" t="str">
        <f>HYPERLINK("http://earthquake-report.com/2015/10/18/earthquakes-in-the-world-on-october-18-2015-m2-9-or-more/","Russia, Oblast Sverdlovsk")</f>
        <v>Russia, Oblast Sverdlovsk</v>
      </c>
      <c r="C276" s="268" t="s">
        <v>1860</v>
      </c>
      <c r="D276" s="268"/>
      <c r="E276" s="268"/>
      <c r="F276" s="269" t="s">
        <v>23</v>
      </c>
      <c r="G276" s="270" t="s">
        <v>23</v>
      </c>
      <c r="H276" s="271">
        <v>1</v>
      </c>
      <c r="I276" s="272">
        <v>2</v>
      </c>
      <c r="J276" s="272">
        <v>0</v>
      </c>
      <c r="K276" s="273" t="s">
        <v>23</v>
      </c>
    </row>
    <row r="277" spans="1:11" ht="12.3">
      <c r="A277" s="266">
        <v>42297</v>
      </c>
      <c r="B277" s="267" t="str">
        <f>HYPERLINK("http://earthquake-report.com/2015/10/20/earthquakes-in-the-world-on-october-20-2015-m2-9-or-more/","USA, California (San Francisco area)")</f>
        <v>USA, California (San Francisco area)</v>
      </c>
      <c r="C277" s="268">
        <v>3.6</v>
      </c>
      <c r="D277" s="268">
        <v>8</v>
      </c>
      <c r="E277" s="268" t="s">
        <v>684</v>
      </c>
      <c r="F277" s="269" t="s">
        <v>23</v>
      </c>
      <c r="G277" s="270" t="s">
        <v>23</v>
      </c>
      <c r="H277" s="271">
        <v>1</v>
      </c>
      <c r="I277" s="272"/>
      <c r="J277" s="272">
        <v>0</v>
      </c>
      <c r="K277" s="273" t="s">
        <v>23</v>
      </c>
    </row>
    <row r="278" spans="1:11" ht="12.3">
      <c r="A278" s="266">
        <v>42297</v>
      </c>
      <c r="B278" s="267" t="str">
        <f>HYPERLINK("http://earthquake-report.com/2015/10/20/minor-earthquake-poland-on-october-20-2015/","Poland, Lesser Poland")</f>
        <v>Poland, Lesser Poland</v>
      </c>
      <c r="C278" s="268" t="s">
        <v>1771</v>
      </c>
      <c r="D278" s="268">
        <v>0.5</v>
      </c>
      <c r="E278" s="268"/>
      <c r="F278" s="269" t="s">
        <v>23</v>
      </c>
      <c r="G278" s="270" t="s">
        <v>23</v>
      </c>
      <c r="H278" s="271" t="s">
        <v>1478</v>
      </c>
      <c r="I278" s="272">
        <v>76</v>
      </c>
      <c r="J278" s="272">
        <v>0</v>
      </c>
      <c r="K278" s="273" t="s">
        <v>23</v>
      </c>
    </row>
    <row r="279" spans="1:11" ht="12.3">
      <c r="A279" s="266">
        <v>42299</v>
      </c>
      <c r="B279" s="267" t="str">
        <f>HYPERLINK("http://earthquake-report.com/2015/10/22/moderate-earthquake-java-indonesia-on-october-22-2015/","OS Indonesia, Java Tengah")</f>
        <v>OS Indonesia, Java Tengah</v>
      </c>
      <c r="C279" s="274">
        <v>5</v>
      </c>
      <c r="D279" s="268">
        <v>14</v>
      </c>
      <c r="E279" s="268"/>
      <c r="F279" s="269" t="s">
        <v>23</v>
      </c>
      <c r="G279" s="270"/>
      <c r="H279" s="271">
        <v>2</v>
      </c>
      <c r="I279" s="272"/>
      <c r="J279" s="272">
        <v>0</v>
      </c>
      <c r="K279" s="273" t="s">
        <v>23</v>
      </c>
    </row>
    <row r="280" spans="1:11" ht="12.3">
      <c r="A280" s="279">
        <v>42300</v>
      </c>
      <c r="B280" s="280" t="str">
        <f>HYPERLINK("http://earthquake-report.com/2015/10/23/moderate-earthquake-pakistan-on-october-23-2015/","Pakistan, Punjab")</f>
        <v>Pakistan, Punjab</v>
      </c>
      <c r="C280" s="282">
        <v>5.3</v>
      </c>
      <c r="D280" s="282"/>
      <c r="E280" s="282"/>
      <c r="F280" s="269">
        <v>2</v>
      </c>
      <c r="G280" s="287">
        <v>1</v>
      </c>
      <c r="H280" s="283">
        <v>3</v>
      </c>
      <c r="I280" s="284"/>
      <c r="J280" s="284"/>
      <c r="K280" s="285" t="s">
        <v>23</v>
      </c>
    </row>
    <row r="281" spans="1:11" ht="12.3">
      <c r="A281" s="266">
        <v>42302</v>
      </c>
      <c r="B281" s="267" t="str">
        <f>HYPERLINK("http://earthquake-report.com/2015/10/25/minor-earthquake-central-iran-on-october-25-2015/","Iran Bushehr")</f>
        <v>Iran Bushehr</v>
      </c>
      <c r="C281" s="274">
        <v>4</v>
      </c>
      <c r="D281" s="268">
        <v>9</v>
      </c>
      <c r="E281" s="268"/>
      <c r="F281" s="269" t="s">
        <v>23</v>
      </c>
      <c r="G281" s="270" t="s">
        <v>23</v>
      </c>
      <c r="H281" s="271" t="s">
        <v>1478</v>
      </c>
      <c r="I281" s="272"/>
      <c r="J281" s="272">
        <v>0</v>
      </c>
      <c r="K281" s="273" t="s">
        <v>23</v>
      </c>
    </row>
    <row r="282" spans="1:11" ht="12.3">
      <c r="A282" s="279">
        <v>42303</v>
      </c>
      <c r="B282" s="280" t="str">
        <f>HYPERLINK("http://earthquake-report.com/2015/10/26/massive-earthquake-hindu-kush-region-afghanistan-on-october-26-2015/","Afghanistan, Badakhshan")</f>
        <v>Afghanistan, Badakhshan</v>
      </c>
      <c r="C282" s="282">
        <v>7.5</v>
      </c>
      <c r="D282" s="282">
        <v>223</v>
      </c>
      <c r="E282" s="282" t="s">
        <v>123</v>
      </c>
      <c r="F282" s="269">
        <f>280+117+5</f>
        <v>402</v>
      </c>
      <c r="G282" s="287">
        <f>1770+544+21+20</f>
        <v>2355</v>
      </c>
      <c r="H282" s="283" t="s">
        <v>1808</v>
      </c>
      <c r="I282" s="284">
        <f>79893+12794</f>
        <v>92687</v>
      </c>
      <c r="J282" s="284">
        <f>29230+7384+20+8</f>
        <v>36642</v>
      </c>
      <c r="K282" s="285" t="s">
        <v>23</v>
      </c>
    </row>
    <row r="283" spans="1:11" ht="12.3">
      <c r="A283" s="266">
        <v>42303</v>
      </c>
      <c r="B283" s="267" t="str">
        <f>HYPERLINK("http://earthquake-report.com/2015/10/26/moderate-earthquake-xizang-on-october-26-2015/","China, Xizang")</f>
        <v>China, Xizang</v>
      </c>
      <c r="C283" s="268">
        <v>4.2</v>
      </c>
      <c r="D283" s="268">
        <v>8</v>
      </c>
      <c r="E283" s="268"/>
      <c r="F283" s="269" t="s">
        <v>23</v>
      </c>
      <c r="G283" s="270" t="s">
        <v>23</v>
      </c>
      <c r="H283" s="271" t="s">
        <v>1478</v>
      </c>
      <c r="I283" s="272"/>
      <c r="J283" s="272"/>
      <c r="K283" s="273" t="s">
        <v>23</v>
      </c>
    </row>
    <row r="284" spans="1:11" ht="12.3">
      <c r="A284" s="266">
        <v>42305</v>
      </c>
      <c r="B284" s="277" t="str">
        <f>HYPERLINK("http://earthquake-report.com/2015/10/29/moderate-earthquake-yunnan-china-on-october-28-2015/","China, Yunnan")</f>
        <v>China, Yunnan</v>
      </c>
      <c r="C284" s="268">
        <v>4.7</v>
      </c>
      <c r="D284" s="268">
        <v>8</v>
      </c>
      <c r="E284" s="268"/>
      <c r="F284" s="269" t="s">
        <v>23</v>
      </c>
      <c r="G284" s="270" t="s">
        <v>23</v>
      </c>
      <c r="H284" s="271" t="s">
        <v>1511</v>
      </c>
      <c r="I284" s="272">
        <v>5314</v>
      </c>
      <c r="J284" s="272">
        <v>0</v>
      </c>
      <c r="K284" s="273" t="s">
        <v>23</v>
      </c>
    </row>
    <row r="285" spans="1:11" ht="12.3">
      <c r="A285" s="266">
        <v>42306</v>
      </c>
      <c r="B285" s="277" t="str">
        <f>HYPERLINK("http://earthquake-report.com/2015/10/29/moderate-earthquake-armenia-azerbaijan-iran-border-reg-on-october-29-2015/","Turkey, Van")</f>
        <v>Turkey, Van</v>
      </c>
      <c r="C285" s="268">
        <v>4.8</v>
      </c>
      <c r="D285" s="268">
        <v>5</v>
      </c>
      <c r="E285" s="268"/>
      <c r="F285" s="269" t="s">
        <v>23</v>
      </c>
      <c r="G285" s="270">
        <v>1</v>
      </c>
      <c r="H285" s="271">
        <v>2</v>
      </c>
      <c r="I285" s="272"/>
      <c r="J285" s="272"/>
      <c r="K285" s="273" t="s">
        <v>23</v>
      </c>
    </row>
    <row r="286" spans="1:11" ht="12.3">
      <c r="A286" s="266">
        <v>42307</v>
      </c>
      <c r="B286" s="267" t="str">
        <f>HYPERLINK("http://earthquake-report.com/2015/10/30/moderate-earthquake-madagascar-on-october-30-2015/","Madagascar, Sava")</f>
        <v>Madagascar, Sava</v>
      </c>
      <c r="C286" s="268">
        <v>4.7</v>
      </c>
      <c r="D286" s="268"/>
      <c r="E286" s="268"/>
      <c r="F286" s="269" t="s">
        <v>23</v>
      </c>
      <c r="G286" s="270" t="s">
        <v>23</v>
      </c>
      <c r="H286" s="271" t="s">
        <v>1478</v>
      </c>
      <c r="I286" s="272"/>
      <c r="J286" s="272"/>
      <c r="K286" s="273" t="s">
        <v>23</v>
      </c>
    </row>
    <row r="287" spans="1:11" ht="12.3">
      <c r="A287" s="288">
        <v>42307</v>
      </c>
      <c r="B287" s="277" t="str">
        <f>HYPERLINK("http://earthquake-report.com/2015/10/30/moderate-earthquake-yunnan-china-on-october-30-2015/","China, Yunnan")</f>
        <v>China, Yunnan</v>
      </c>
      <c r="C287" s="275">
        <v>5.0999999999999996</v>
      </c>
      <c r="D287" s="275">
        <v>10</v>
      </c>
      <c r="E287" s="275" t="s">
        <v>35</v>
      </c>
      <c r="F287" s="269" t="s">
        <v>23</v>
      </c>
      <c r="G287" s="270" t="s">
        <v>23</v>
      </c>
      <c r="H287" s="289" t="s">
        <v>1653</v>
      </c>
      <c r="I287" s="290">
        <v>38036</v>
      </c>
      <c r="J287" s="290">
        <v>255</v>
      </c>
      <c r="K287" s="291" t="s">
        <v>23</v>
      </c>
    </row>
    <row r="288" spans="1:11" ht="12.3">
      <c r="A288" s="266">
        <v>42309</v>
      </c>
      <c r="B288" s="267" t="str">
        <f>HYPERLINK("http://earthquake-report.com/2015/11/01/strong-earthquake-taihape-on-november-1-2015/","New Zealand, Manawatu-Wanganui")</f>
        <v>New Zealand, Manawatu-Wanganui</v>
      </c>
      <c r="C288" s="268">
        <v>5.4</v>
      </c>
      <c r="D288" s="268">
        <v>39</v>
      </c>
      <c r="E288" s="268"/>
      <c r="F288" s="269" t="s">
        <v>23</v>
      </c>
      <c r="G288" s="270" t="s">
        <v>23</v>
      </c>
      <c r="H288" s="271">
        <v>1</v>
      </c>
      <c r="I288" s="272">
        <v>2</v>
      </c>
      <c r="J288" s="272">
        <v>0</v>
      </c>
      <c r="K288" s="273" t="s">
        <v>23</v>
      </c>
    </row>
    <row r="289" spans="1:11" ht="12.3">
      <c r="A289" s="266">
        <v>42309</v>
      </c>
      <c r="B289" s="267" t="str">
        <f>HYPERLINK("http://earthquake-report.com/2015/11/01/minor-earthquake-offshore-ohiggins-chile-on-november-1-2015/","Slovenia, Brezice")</f>
        <v>Slovenia, Brezice</v>
      </c>
      <c r="C289" s="268">
        <v>4.4000000000000004</v>
      </c>
      <c r="D289" s="268">
        <v>5</v>
      </c>
      <c r="E289" s="268" t="s">
        <v>35</v>
      </c>
      <c r="F289" s="269" t="s">
        <v>23</v>
      </c>
      <c r="G289" s="270" t="s">
        <v>23</v>
      </c>
      <c r="H289" s="271">
        <v>1</v>
      </c>
      <c r="I289" s="272"/>
      <c r="J289" s="272">
        <v>0</v>
      </c>
      <c r="K289" s="273" t="s">
        <v>23</v>
      </c>
    </row>
    <row r="290" spans="1:11" ht="12.3">
      <c r="A290" s="266">
        <v>42310</v>
      </c>
      <c r="B290" s="267" t="str">
        <f>HYPERLINK("http://earthquake-report.com/2015/11/02/moderate-earthquake-black-canyon-city-arizona-on-november-2-2015/","USA, Arizona")</f>
        <v>USA, Arizona</v>
      </c>
      <c r="C290" s="268">
        <v>4.0999999999999996</v>
      </c>
      <c r="D290" s="268"/>
      <c r="E290" s="268"/>
      <c r="F290" s="269" t="s">
        <v>23</v>
      </c>
      <c r="G290" s="270" t="s">
        <v>23</v>
      </c>
      <c r="H290" s="271">
        <v>1</v>
      </c>
      <c r="I290" s="272"/>
      <c r="J290" s="272">
        <v>0</v>
      </c>
      <c r="K290" s="273" t="s">
        <v>23</v>
      </c>
    </row>
    <row r="291" spans="1:11" ht="12.3">
      <c r="A291" s="266">
        <v>42310</v>
      </c>
      <c r="B291" s="267" t="str">
        <f>HYPERLINK("http://earthquake-report.com/2015/11/02/moderate-earthquake-wana-pakistan-on-november-2-2015/","Pakistan, FATA")</f>
        <v>Pakistan, FATA</v>
      </c>
      <c r="C291" s="268">
        <v>5.2</v>
      </c>
      <c r="D291" s="268"/>
      <c r="E291" s="268"/>
      <c r="F291" s="269" t="s">
        <v>23</v>
      </c>
      <c r="G291" s="270"/>
      <c r="H291" s="271">
        <v>2</v>
      </c>
      <c r="I291" s="272"/>
      <c r="J291" s="272"/>
      <c r="K291" s="273" t="s">
        <v>23</v>
      </c>
    </row>
    <row r="292" spans="1:11" ht="12.3">
      <c r="A292" s="266">
        <v>42311</v>
      </c>
      <c r="B292" s="244" t="str">
        <f>HYPERLINK("http://earthquake-report.com/2015/11/03/minor-earthquake-slovakia-on-november-3-2015/","Slovakia, Banska Bystrica ")</f>
        <v xml:space="preserve">Slovakia, Banska Bystrica </v>
      </c>
      <c r="C292" s="268">
        <v>3.2</v>
      </c>
      <c r="D292" s="268"/>
      <c r="E292" s="268"/>
      <c r="F292" s="269" t="s">
        <v>23</v>
      </c>
      <c r="G292" s="270" t="s">
        <v>23</v>
      </c>
      <c r="H292" s="271">
        <v>1</v>
      </c>
      <c r="I292" s="272"/>
      <c r="J292" s="272">
        <v>0</v>
      </c>
      <c r="K292" s="273" t="s">
        <v>23</v>
      </c>
    </row>
    <row r="293" spans="1:11" ht="12.3">
      <c r="A293" s="266">
        <v>42311</v>
      </c>
      <c r="B293" s="267" t="str">
        <f>HYPERLINK("http://earthquake-report.com/2015/11/03/moderate-earthquake-zavetnoye-russia-on-november-3-2015/","Russia, Krasnodar")</f>
        <v>Russia, Krasnodar</v>
      </c>
      <c r="C293" s="268">
        <v>4.7</v>
      </c>
      <c r="D293" s="268"/>
      <c r="E293" s="268"/>
      <c r="F293" s="269" t="s">
        <v>23</v>
      </c>
      <c r="G293" s="270" t="s">
        <v>23</v>
      </c>
      <c r="H293" s="271">
        <v>1</v>
      </c>
      <c r="I293" s="272"/>
      <c r="J293" s="272">
        <v>0</v>
      </c>
      <c r="K293" s="273" t="s">
        <v>23</v>
      </c>
    </row>
    <row r="294" spans="1:11" ht="12.3">
      <c r="A294" s="266">
        <v>42312</v>
      </c>
      <c r="B294" s="277" t="str">
        <f>HYPERLINK("http://earthquake-report.com/2015/11/04/very-strong-earthquake-timor-region-on-november-4-2015/","Indonesia, East Nusa Tenggara")</f>
        <v>Indonesia, East Nusa Tenggara</v>
      </c>
      <c r="C294" s="275">
        <v>6.4</v>
      </c>
      <c r="D294" s="268">
        <v>14</v>
      </c>
      <c r="E294" s="268"/>
      <c r="F294" s="269" t="s">
        <v>23</v>
      </c>
      <c r="G294" s="270">
        <v>3</v>
      </c>
      <c r="H294" s="271" t="s">
        <v>1508</v>
      </c>
      <c r="I294" s="272">
        <v>2075</v>
      </c>
      <c r="J294" s="272"/>
      <c r="K294" s="273" t="s">
        <v>23</v>
      </c>
    </row>
    <row r="295" spans="1:11" ht="12.3">
      <c r="A295" s="266">
        <v>42312</v>
      </c>
      <c r="B295" s="267" t="str">
        <f>HYPERLINK("http://earthquake-report.com/2015/11/04/strong-earthquake-northern-sumatra-indonesia-on-november-4-2015/","OS Indonesia, Banten")</f>
        <v>OS Indonesia, Banten</v>
      </c>
      <c r="C295" s="268">
        <v>5.2</v>
      </c>
      <c r="D295" s="268"/>
      <c r="E295" s="268"/>
      <c r="F295" s="269" t="s">
        <v>23</v>
      </c>
      <c r="G295" s="270" t="s">
        <v>23</v>
      </c>
      <c r="H295" s="271">
        <v>1</v>
      </c>
      <c r="I295" s="272"/>
      <c r="J295" s="272">
        <v>0</v>
      </c>
      <c r="K295" s="273" t="s">
        <v>23</v>
      </c>
    </row>
    <row r="296" spans="1:11" ht="12.3">
      <c r="A296" s="266">
        <v>42314</v>
      </c>
      <c r="B296" s="267" t="str">
        <f>HYPERLINK("http://earthquake-report.com/2015/11/06/moderate-earthquake-jausiers-france-on-november-6-2015/","France, Alpes Côte d'Azur")</f>
        <v>France, Alpes Côte d'Azur</v>
      </c>
      <c r="C296" s="268">
        <v>4.4000000000000004</v>
      </c>
      <c r="D296" s="268"/>
      <c r="E296" s="268" t="s">
        <v>134</v>
      </c>
      <c r="F296" s="269" t="s">
        <v>23</v>
      </c>
      <c r="G296" s="270" t="s">
        <v>23</v>
      </c>
      <c r="H296" s="271">
        <v>1</v>
      </c>
      <c r="I296" s="272"/>
      <c r="J296" s="272">
        <v>0</v>
      </c>
      <c r="K296" s="273" t="s">
        <v>23</v>
      </c>
    </row>
    <row r="297" spans="1:11" ht="12.3">
      <c r="A297" s="266">
        <v>42314</v>
      </c>
      <c r="B297" s="267" t="str">
        <f>HYPERLINK("http://earthquake-report.com/2015/11/06/moderate-earthquake-mato-grosso-do-sul-brazil-on-november-6-2015/","Brazil, Bahia")</f>
        <v>Brazil, Bahia</v>
      </c>
      <c r="C297" s="268">
        <v>3.2</v>
      </c>
      <c r="D297" s="268"/>
      <c r="E297" s="268"/>
      <c r="F297" s="269" t="s">
        <v>23</v>
      </c>
      <c r="G297" s="270" t="s">
        <v>23</v>
      </c>
      <c r="H297" s="271" t="s">
        <v>1478</v>
      </c>
      <c r="I297" s="272"/>
      <c r="J297" s="272">
        <v>0</v>
      </c>
      <c r="K297" s="273" t="s">
        <v>23</v>
      </c>
    </row>
    <row r="298" spans="1:11" ht="12.3">
      <c r="A298" s="279">
        <v>42315</v>
      </c>
      <c r="B298" s="280" t="str">
        <f>HYPERLINK("http://wp.me/p1bAUO-GIl","Venezuela, Merida")</f>
        <v>Venezuela, Merida</v>
      </c>
      <c r="C298" s="282">
        <v>5.0999999999999996</v>
      </c>
      <c r="D298" s="282">
        <v>5</v>
      </c>
      <c r="E298" s="282"/>
      <c r="F298" s="269">
        <v>1</v>
      </c>
      <c r="G298" s="287">
        <v>4</v>
      </c>
      <c r="H298" s="283" t="s">
        <v>1511</v>
      </c>
      <c r="I298" s="284">
        <v>398</v>
      </c>
      <c r="J298" s="284">
        <v>0</v>
      </c>
      <c r="K298" s="285" t="s">
        <v>23</v>
      </c>
    </row>
    <row r="299" spans="1:11" ht="12.3">
      <c r="A299" s="266">
        <v>42315</v>
      </c>
      <c r="B299" s="267" t="str">
        <f>HYPERLINK("http://wp.me/p1bAUO-GHH","Chile, Coquimbo")</f>
        <v>Chile, Coquimbo</v>
      </c>
      <c r="C299" s="275">
        <v>6.8</v>
      </c>
      <c r="D299" s="268">
        <v>48</v>
      </c>
      <c r="E299" s="268" t="s">
        <v>123</v>
      </c>
      <c r="F299" s="269" t="s">
        <v>23</v>
      </c>
      <c r="G299" s="270" t="s">
        <v>23</v>
      </c>
      <c r="H299" s="271" t="s">
        <v>1478</v>
      </c>
      <c r="I299" s="272"/>
      <c r="J299" s="272">
        <v>0</v>
      </c>
      <c r="K299" s="273" t="s">
        <v>23</v>
      </c>
    </row>
    <row r="300" spans="1:11" ht="12.3">
      <c r="A300" s="266">
        <v>42315</v>
      </c>
      <c r="B300" s="267" t="str">
        <f>HYPERLINK("http://earthquake-report.com/2015/11/07/moderate-earthquake-oklahoma-on-november-7-2015/","USA, Oklahoma")</f>
        <v>USA, Oklahoma</v>
      </c>
      <c r="C300" s="268" t="s">
        <v>1860</v>
      </c>
      <c r="D300" s="268">
        <v>5</v>
      </c>
      <c r="E300" s="268"/>
      <c r="F300" s="269" t="s">
        <v>23</v>
      </c>
      <c r="G300" s="270" t="s">
        <v>23</v>
      </c>
      <c r="H300" s="271" t="s">
        <v>1478</v>
      </c>
      <c r="I300" s="272"/>
      <c r="J300" s="272">
        <v>0</v>
      </c>
      <c r="K300" s="273" t="s">
        <v>23</v>
      </c>
    </row>
    <row r="301" spans="1:11" ht="12.3">
      <c r="A301" s="266">
        <v>42316</v>
      </c>
      <c r="B301" s="267" t="str">
        <f>HYPERLINK("http://earthquake-report.com/2015/11/08/very-strong-earthquake-padangsidempuan-indonesia-on-november-8-2015/","OS Indonesia, Sumatra Utara")</f>
        <v>OS Indonesia, Sumatra Utara</v>
      </c>
      <c r="C301" s="278">
        <v>6</v>
      </c>
      <c r="D301" s="268"/>
      <c r="E301" s="268"/>
      <c r="F301" s="269" t="s">
        <v>23</v>
      </c>
      <c r="G301" s="270" t="s">
        <v>23</v>
      </c>
      <c r="H301" s="271">
        <v>1</v>
      </c>
      <c r="I301" s="272">
        <v>2</v>
      </c>
      <c r="J301" s="272">
        <v>0</v>
      </c>
      <c r="K301" s="273" t="s">
        <v>23</v>
      </c>
    </row>
    <row r="302" spans="1:11" ht="12.3">
      <c r="A302" s="266">
        <v>42319</v>
      </c>
      <c r="B302" s="267" t="str">
        <f>HYPERLINK("http://earthquake-report.com/2015/11/11/very-strong-earthquake-off-coast-of-central-chile-on-november-11-2015/","OS Chile, Coquimbo")</f>
        <v>OS Chile, Coquimbo</v>
      </c>
      <c r="C302" s="275">
        <v>6.9</v>
      </c>
      <c r="D302" s="268"/>
      <c r="E302" s="268" t="s">
        <v>123</v>
      </c>
      <c r="F302" s="269" t="s">
        <v>23</v>
      </c>
      <c r="G302" s="270" t="s">
        <v>23</v>
      </c>
      <c r="H302" s="271" t="s">
        <v>23</v>
      </c>
      <c r="I302" s="272">
        <v>0</v>
      </c>
      <c r="J302" s="272">
        <v>0</v>
      </c>
      <c r="K302" s="273" t="s">
        <v>1861</v>
      </c>
    </row>
    <row r="303" spans="1:11" ht="12.3">
      <c r="A303" s="266">
        <v>42319</v>
      </c>
      <c r="B303" s="277" t="str">
        <f>HYPERLINK("http://earthquake-report.com/2015/11/11/very-strong-earthquake-bambanglipuro-indonesia-on-november-11-2015/","OS Indonesia, Yogyakarta")</f>
        <v>OS Indonesia, Yogyakarta</v>
      </c>
      <c r="C303" s="275">
        <v>5.6</v>
      </c>
      <c r="D303" s="268"/>
      <c r="E303" s="268" t="s">
        <v>1364</v>
      </c>
      <c r="F303" s="269" t="s">
        <v>23</v>
      </c>
      <c r="G303" s="270">
        <v>1</v>
      </c>
      <c r="H303" s="271">
        <v>2</v>
      </c>
      <c r="I303" s="272"/>
      <c r="J303" s="272">
        <v>0</v>
      </c>
      <c r="K303" s="273" t="s">
        <v>23</v>
      </c>
    </row>
    <row r="304" spans="1:11" ht="12.3">
      <c r="A304" s="266">
        <v>42321</v>
      </c>
      <c r="B304" s="267" t="str">
        <f>HYPERLINK("http://earthquake-report.com/2015/11/13/strong-earthquake-quilino-argentina-on-november-13-2015/","Argentina, Cordoba")</f>
        <v>Argentina, Cordoba</v>
      </c>
      <c r="C304" s="275">
        <v>5.8</v>
      </c>
      <c r="D304" s="268"/>
      <c r="E304" s="268"/>
      <c r="F304" s="269" t="s">
        <v>23</v>
      </c>
      <c r="G304" s="270" t="s">
        <v>23</v>
      </c>
      <c r="H304" s="271">
        <v>2</v>
      </c>
      <c r="I304" s="272"/>
      <c r="J304" s="272">
        <v>0</v>
      </c>
      <c r="K304" s="273" t="s">
        <v>23</v>
      </c>
    </row>
    <row r="305" spans="1:11" ht="12.3">
      <c r="A305" s="266">
        <v>42321</v>
      </c>
      <c r="B305" s="267" t="str">
        <f>HYPERLINK("http://earthquake-report.com/2015/11/13/very-strong-earthquake-northwest-of-ryukyu-islands-on-november-13-2015/","OS Japan, Kagoshima")</f>
        <v>OS Japan, Kagoshima</v>
      </c>
      <c r="C305" s="278">
        <v>7</v>
      </c>
      <c r="D305" s="268"/>
      <c r="E305" s="268" t="s">
        <v>1787</v>
      </c>
      <c r="F305" s="269" t="s">
        <v>23</v>
      </c>
      <c r="G305" s="270" t="s">
        <v>23</v>
      </c>
      <c r="H305" s="271" t="s">
        <v>23</v>
      </c>
      <c r="I305" s="272">
        <v>0</v>
      </c>
      <c r="J305" s="272">
        <v>0</v>
      </c>
      <c r="K305" s="273" t="s">
        <v>588</v>
      </c>
    </row>
    <row r="306" spans="1:11" ht="12.3">
      <c r="A306" s="266">
        <v>42324</v>
      </c>
      <c r="B306" s="267" t="str">
        <f>HYPERLINK("http://earthquake-report.com/2015/11/16/moderate-earthquake-turkmenistan-on-november-16-2015/","Turkmenistan, Balkan Welayaty")</f>
        <v>Turkmenistan, Balkan Welayaty</v>
      </c>
      <c r="C306" s="268">
        <v>4.5</v>
      </c>
      <c r="D306" s="268"/>
      <c r="E306" s="268"/>
      <c r="F306" s="269" t="s">
        <v>23</v>
      </c>
      <c r="G306" s="270" t="s">
        <v>23</v>
      </c>
      <c r="H306" s="271" t="s">
        <v>1478</v>
      </c>
      <c r="I306" s="272"/>
      <c r="J306" s="272"/>
      <c r="K306" s="273" t="s">
        <v>23</v>
      </c>
    </row>
    <row r="307" spans="1:11" ht="12.3">
      <c r="A307" s="279">
        <v>42325</v>
      </c>
      <c r="B307" s="280" t="str">
        <f>HYPERLINK("http://earthquake-report.com/2015/11/17/very-strong-earthquake-nidri-greece-on-november-17-2015/","OS Greece, Ionian Islands")</f>
        <v>OS Greece, Ionian Islands</v>
      </c>
      <c r="C307" s="282">
        <v>6.4</v>
      </c>
      <c r="D307" s="282">
        <v>5</v>
      </c>
      <c r="E307" s="282" t="s">
        <v>123</v>
      </c>
      <c r="F307" s="269">
        <v>2</v>
      </c>
      <c r="G307" s="287">
        <v>5</v>
      </c>
      <c r="H307" s="283" t="s">
        <v>1508</v>
      </c>
      <c r="I307" s="284">
        <v>120</v>
      </c>
      <c r="J307" s="284">
        <v>42</v>
      </c>
      <c r="K307" s="285" t="s">
        <v>1861</v>
      </c>
    </row>
    <row r="308" spans="1:11" ht="12.3">
      <c r="A308" s="288">
        <v>42325</v>
      </c>
      <c r="B308" s="277" t="str">
        <f>HYPERLINK("http://earthquake-report.com/2015/11/17/moderate-earthquake-kyrgyzstan-on-november-17-2015/","Kyrgyzstan, Osh")</f>
        <v>Kyrgyzstan, Osh</v>
      </c>
      <c r="C308" s="275">
        <v>5.9</v>
      </c>
      <c r="D308" s="275"/>
      <c r="E308" s="275" t="s">
        <v>123</v>
      </c>
      <c r="F308" s="269" t="s">
        <v>23</v>
      </c>
      <c r="G308" s="270" t="s">
        <v>23</v>
      </c>
      <c r="H308" s="289" t="s">
        <v>1653</v>
      </c>
      <c r="I308" s="290">
        <f>3372-J308</f>
        <v>2919</v>
      </c>
      <c r="J308" s="290">
        <v>453</v>
      </c>
      <c r="K308" s="291" t="s">
        <v>23</v>
      </c>
    </row>
    <row r="309" spans="1:11" ht="12.3">
      <c r="A309" s="266">
        <v>42325</v>
      </c>
      <c r="B309" s="267" t="str">
        <f>HYPERLINK("http://earthquake-report.com/2015/11/18/minor-earthquake-poland-on-november-17-2015-2/","Poland, Lesser Poland")</f>
        <v>Poland, Lesser Poland</v>
      </c>
      <c r="C309" s="268" t="s">
        <v>1771</v>
      </c>
      <c r="D309" s="268">
        <v>1</v>
      </c>
      <c r="E309" s="268"/>
      <c r="F309" s="269" t="s">
        <v>23</v>
      </c>
      <c r="G309" s="270" t="s">
        <v>23</v>
      </c>
      <c r="H309" s="271">
        <v>1</v>
      </c>
      <c r="I309" s="272">
        <v>17</v>
      </c>
      <c r="J309" s="272">
        <v>0</v>
      </c>
      <c r="K309" s="273" t="s">
        <v>23</v>
      </c>
    </row>
    <row r="310" spans="1:11" ht="12.3">
      <c r="A310" s="266">
        <v>42327</v>
      </c>
      <c r="B310" s="267" t="str">
        <f>HYPERLINK("http://wp.me/p1bAUO-GZt","USA, Oklahoma")</f>
        <v>USA, Oklahoma</v>
      </c>
      <c r="C310" s="268" t="s">
        <v>1862</v>
      </c>
      <c r="D310" s="268">
        <v>6</v>
      </c>
      <c r="E310" s="268" t="s">
        <v>35</v>
      </c>
      <c r="F310" s="269" t="s">
        <v>23</v>
      </c>
      <c r="G310" s="270" t="s">
        <v>23</v>
      </c>
      <c r="H310" s="271" t="s">
        <v>1478</v>
      </c>
      <c r="I310" s="272"/>
      <c r="J310" s="272">
        <v>0</v>
      </c>
      <c r="K310" s="273" t="s">
        <v>23</v>
      </c>
    </row>
    <row r="311" spans="1:11" ht="12.3">
      <c r="A311" s="266">
        <v>42328</v>
      </c>
      <c r="B311" s="267" t="str">
        <f>HYPERLINK("http://wp.me/p1bAUO-H16","Kyrgyzstan, Osh (aftershock)")</f>
        <v>Kyrgyzstan, Osh (aftershock)</v>
      </c>
      <c r="C311" s="268">
        <v>5.0999999999999996</v>
      </c>
      <c r="D311" s="268"/>
      <c r="E311" s="268" t="s">
        <v>35</v>
      </c>
      <c r="F311" s="269" t="s">
        <v>23</v>
      </c>
      <c r="G311" s="270" t="s">
        <v>23</v>
      </c>
      <c r="H311" s="271">
        <v>2</v>
      </c>
      <c r="I311" s="272"/>
      <c r="J311" s="272">
        <v>0</v>
      </c>
      <c r="K311" s="273" t="s">
        <v>23</v>
      </c>
    </row>
    <row r="312" spans="1:11" ht="12.3">
      <c r="A312" s="266">
        <v>42328</v>
      </c>
      <c r="B312" s="277" t="str">
        <f>HYPERLINK("http://earthquake-report.com/2015/11/20/moderate-earthquake-halmahera-indonesia-on-november-20-2015/","Indonesia, North Molukka")</f>
        <v>Indonesia, North Molukka</v>
      </c>
      <c r="C312" s="268">
        <v>4.8</v>
      </c>
      <c r="D312" s="268"/>
      <c r="E312" s="268" t="s">
        <v>134</v>
      </c>
      <c r="F312" s="269" t="s">
        <v>23</v>
      </c>
      <c r="G312" s="270">
        <v>1</v>
      </c>
      <c r="H312" s="271" t="s">
        <v>1511</v>
      </c>
      <c r="I312" s="272">
        <v>497</v>
      </c>
      <c r="J312" s="272">
        <v>0</v>
      </c>
      <c r="K312" s="273" t="s">
        <v>23</v>
      </c>
    </row>
    <row r="313" spans="1:11" ht="12.3">
      <c r="A313" s="266">
        <v>42298</v>
      </c>
      <c r="B313" s="267" t="str">
        <f>HYPERLINK("http://earthquake-report.com/2015/11/21/moderate-earthquake-kyrgyzstan-on-november-21-2015/","Kyrgyzstan, Jalalabad")</f>
        <v>Kyrgyzstan, Jalalabad</v>
      </c>
      <c r="C313" s="268">
        <v>4.4000000000000004</v>
      </c>
      <c r="D313" s="268"/>
      <c r="E313" s="268" t="s">
        <v>134</v>
      </c>
      <c r="F313" s="293" t="s">
        <v>23</v>
      </c>
      <c r="G313" s="294" t="s">
        <v>23</v>
      </c>
      <c r="H313" s="271">
        <v>1</v>
      </c>
      <c r="I313" s="272">
        <v>2</v>
      </c>
      <c r="J313" s="272">
        <v>0</v>
      </c>
      <c r="K313" s="273" t="s">
        <v>23</v>
      </c>
    </row>
    <row r="314" spans="1:11" ht="12.3">
      <c r="A314" s="279">
        <v>42329</v>
      </c>
      <c r="B314" s="280" t="str">
        <f>HYPERLINK("http://wp.me/p1bAUO-H1i","Indonesia, Central Java")</f>
        <v>Indonesia, Central Java</v>
      </c>
      <c r="C314" s="282">
        <v>3.2</v>
      </c>
      <c r="D314" s="282"/>
      <c r="E314" s="282" t="s">
        <v>790</v>
      </c>
      <c r="F314" s="269">
        <v>1</v>
      </c>
      <c r="G314" s="287" t="s">
        <v>23</v>
      </c>
      <c r="H314" s="283" t="s">
        <v>23</v>
      </c>
      <c r="I314" s="284">
        <v>0</v>
      </c>
      <c r="J314" s="284">
        <v>0</v>
      </c>
      <c r="K314" s="285" t="s">
        <v>23</v>
      </c>
    </row>
    <row r="315" spans="1:11" ht="12.3">
      <c r="A315" s="279">
        <v>42330</v>
      </c>
      <c r="B315" s="280" t="str">
        <f>HYPERLINK("http://earthquake-report.com/2015/11/22/very-strong-earthquake-afghanistan-tajikistan-border-region-on-november-22-2015/","Afghanistan, Badakhshan")</f>
        <v>Afghanistan, Badakhshan</v>
      </c>
      <c r="C315" s="282">
        <v>5.8</v>
      </c>
      <c r="D315" s="282">
        <v>92</v>
      </c>
      <c r="E315" s="282" t="s">
        <v>134</v>
      </c>
      <c r="F315" s="269">
        <v>2</v>
      </c>
      <c r="G315" s="287" t="s">
        <v>23</v>
      </c>
      <c r="H315" s="283" t="s">
        <v>1508</v>
      </c>
      <c r="I315" s="284"/>
      <c r="J315" s="284">
        <v>25</v>
      </c>
      <c r="K315" s="285" t="s">
        <v>23</v>
      </c>
    </row>
    <row r="316" spans="1:11" ht="12.3">
      <c r="A316" s="279">
        <v>42330</v>
      </c>
      <c r="B316" s="280" t="str">
        <f>HYPERLINK("http://wp.me/p1bAUO-H5w","Venezuela, Merida")</f>
        <v>Venezuela, Merida</v>
      </c>
      <c r="C316" s="282">
        <v>5.0999999999999996</v>
      </c>
      <c r="D316" s="282">
        <v>5</v>
      </c>
      <c r="E316" s="282"/>
      <c r="F316" s="269">
        <v>1</v>
      </c>
      <c r="G316" s="287">
        <v>3</v>
      </c>
      <c r="H316" s="283">
        <v>2</v>
      </c>
      <c r="I316" s="284"/>
      <c r="J316" s="272">
        <v>1</v>
      </c>
      <c r="K316" s="285" t="s">
        <v>23</v>
      </c>
    </row>
    <row r="317" spans="1:11" ht="12.3">
      <c r="A317" s="266">
        <v>42330</v>
      </c>
      <c r="B317" s="267" t="str">
        <f>HYPERLINK("http://earthquake-report.com/2015/11/22/moderate-earthquake-gansu-china-on-november-22-2015/","China, Qinghai")</f>
        <v>China, Qinghai</v>
      </c>
      <c r="C317" s="268">
        <v>5.2</v>
      </c>
      <c r="D317" s="268">
        <v>10</v>
      </c>
      <c r="E317" s="268"/>
      <c r="F317" s="269" t="s">
        <v>23</v>
      </c>
      <c r="G317" s="270" t="s">
        <v>23</v>
      </c>
      <c r="H317" s="271">
        <v>2</v>
      </c>
      <c r="I317" s="272">
        <v>57</v>
      </c>
      <c r="J317" s="221">
        <v>0</v>
      </c>
      <c r="K317" s="273" t="s">
        <v>23</v>
      </c>
    </row>
    <row r="318" spans="1:11" ht="12.3">
      <c r="A318" s="279">
        <v>42331</v>
      </c>
      <c r="B318" s="280" t="str">
        <f>HYPERLINK("http://earthquake-report.com/2015/11/23/moderate-earthquake-guerrero-mexico-on-november-23-2015/","Mexico, Guerrero")</f>
        <v>Mexico, Guerrero</v>
      </c>
      <c r="C318" s="282">
        <v>5.6</v>
      </c>
      <c r="D318" s="282"/>
      <c r="E318" s="282"/>
      <c r="F318" s="269">
        <v>2</v>
      </c>
      <c r="G318" s="287" t="s">
        <v>23</v>
      </c>
      <c r="H318" s="283" t="s">
        <v>1478</v>
      </c>
      <c r="I318" s="284"/>
      <c r="J318" s="284">
        <v>0</v>
      </c>
      <c r="K318" s="285" t="s">
        <v>23</v>
      </c>
    </row>
    <row r="319" spans="1:11" ht="12.3">
      <c r="A319" s="266">
        <v>42331</v>
      </c>
      <c r="B319" s="275" t="s">
        <v>1863</v>
      </c>
      <c r="C319" s="268">
        <v>4.5999999999999996</v>
      </c>
      <c r="D319" s="268"/>
      <c r="E319" s="268"/>
      <c r="F319" s="269" t="s">
        <v>23</v>
      </c>
      <c r="G319" s="270" t="s">
        <v>23</v>
      </c>
      <c r="H319" s="271" t="s">
        <v>1511</v>
      </c>
      <c r="I319" s="272">
        <v>437</v>
      </c>
      <c r="J319" s="272"/>
      <c r="K319" s="273" t="s">
        <v>23</v>
      </c>
    </row>
    <row r="320" spans="1:11" ht="12.3">
      <c r="A320" s="266">
        <v>42332</v>
      </c>
      <c r="B320" s="267" t="str">
        <f>HYPERLINK("http://earthquake-report.com/2015/11/24/earthquakes-in-the-world-on-november-24-2015-m4-5-or-more/","Bolivia, Santa Cruz")</f>
        <v>Bolivia, Santa Cruz</v>
      </c>
      <c r="C320" s="278">
        <v>5</v>
      </c>
      <c r="D320" s="268"/>
      <c r="E320" s="268"/>
      <c r="F320" s="269" t="s">
        <v>23</v>
      </c>
      <c r="G320" s="270" t="s">
        <v>23</v>
      </c>
      <c r="H320" s="271" t="s">
        <v>1478</v>
      </c>
      <c r="I320" s="272">
        <v>13</v>
      </c>
      <c r="J320" s="272">
        <v>1</v>
      </c>
      <c r="K320" s="273" t="s">
        <v>23</v>
      </c>
    </row>
    <row r="321" spans="1:11" ht="12.3">
      <c r="A321" s="266">
        <v>42332</v>
      </c>
      <c r="B321" s="267" t="str">
        <f>HYPERLINK("http://earthquake-report.com/2015/11/24/very-strong-earthquake-peru-brazil-border-region-on-november-24-2015/","Peru, Madre de Dios")</f>
        <v>Peru, Madre de Dios</v>
      </c>
      <c r="C321" s="275">
        <v>7.5</v>
      </c>
      <c r="D321" s="268">
        <v>598</v>
      </c>
      <c r="E321" s="268" t="s">
        <v>35</v>
      </c>
      <c r="F321" s="269" t="s">
        <v>23</v>
      </c>
      <c r="G321" s="270" t="s">
        <v>23</v>
      </c>
      <c r="H321" s="271">
        <v>2</v>
      </c>
      <c r="I321" s="272">
        <v>70</v>
      </c>
      <c r="J321" s="272">
        <v>0</v>
      </c>
      <c r="K321" s="273" t="s">
        <v>23</v>
      </c>
    </row>
    <row r="322" spans="1:11" ht="12.3">
      <c r="A322" s="266">
        <v>42333</v>
      </c>
      <c r="B322" s="267" t="str">
        <f>HYPERLINK("http://earthquake-report.com/2015/11/25/moderate-earthquake-southern-peru-on-november-25-2015/","Peru, Arequipa  ")</f>
        <v xml:space="preserve">Peru, Arequipa  </v>
      </c>
      <c r="C322" s="268">
        <v>4.5</v>
      </c>
      <c r="D322" s="268"/>
      <c r="E322" s="268"/>
      <c r="F322" s="269" t="s">
        <v>23</v>
      </c>
      <c r="G322" s="270" t="s">
        <v>23</v>
      </c>
      <c r="H322" s="271">
        <v>1</v>
      </c>
      <c r="I322" s="272">
        <v>0</v>
      </c>
      <c r="J322" s="272">
        <v>0</v>
      </c>
      <c r="K322" s="273" t="s">
        <v>23</v>
      </c>
    </row>
    <row r="323" spans="1:11" ht="12.3">
      <c r="A323" s="266">
        <v>42333</v>
      </c>
      <c r="B323" s="267" t="str">
        <f>HYPERLINK("http://earthquake-report.com/2015/11/25/moderate-earthquake-western-iran-on-november-25-2015/","Iran, Chuzestan")</f>
        <v>Iran, Chuzestan</v>
      </c>
      <c r="C323" s="268">
        <v>5.3</v>
      </c>
      <c r="D323" s="268">
        <v>12</v>
      </c>
      <c r="E323" s="268"/>
      <c r="F323" s="269" t="s">
        <v>23</v>
      </c>
      <c r="G323" s="270" t="s">
        <v>23</v>
      </c>
      <c r="H323" s="271" t="s">
        <v>1478</v>
      </c>
      <c r="I323" s="272"/>
      <c r="J323" s="272"/>
      <c r="K323" s="273" t="s">
        <v>23</v>
      </c>
    </row>
    <row r="324" spans="1:11" ht="12.3">
      <c r="A324" s="266">
        <v>42334</v>
      </c>
      <c r="B324" s="267" t="str">
        <f>HYPERLINK("http://earthquake-report.com/2015/11/26/moderate-earthquake-dominican-republic-region-on-november-26-2015/","Dominican Republic, Azua")</f>
        <v>Dominican Republic, Azua</v>
      </c>
      <c r="C324" s="274">
        <v>5</v>
      </c>
      <c r="D324" s="268"/>
      <c r="E324" s="268"/>
      <c r="F324" s="269" t="s">
        <v>23</v>
      </c>
      <c r="G324" s="270" t="s">
        <v>23</v>
      </c>
      <c r="H324" s="271">
        <v>1</v>
      </c>
      <c r="I324" s="272">
        <v>1</v>
      </c>
      <c r="J324" s="272">
        <v>0</v>
      </c>
      <c r="K324" s="273" t="s">
        <v>23</v>
      </c>
    </row>
    <row r="325" spans="1:11" ht="12.3">
      <c r="A325" s="266">
        <v>42335</v>
      </c>
      <c r="B325" s="267" t="str">
        <f>HYPERLINK("http://wp.me/p1bAUO-Hch","Brazil, Acre (aftershock)")</f>
        <v>Brazil, Acre (aftershock)</v>
      </c>
      <c r="C325" s="268">
        <v>5.0999999999999996</v>
      </c>
      <c r="D325" s="268">
        <v>627</v>
      </c>
      <c r="E325" s="268"/>
      <c r="F325" s="269" t="s">
        <v>23</v>
      </c>
      <c r="G325" s="270" t="s">
        <v>23</v>
      </c>
      <c r="H325" s="271">
        <v>1</v>
      </c>
      <c r="I325" s="272">
        <v>1</v>
      </c>
      <c r="J325" s="272">
        <v>0</v>
      </c>
      <c r="K325" s="273" t="s">
        <v>23</v>
      </c>
    </row>
    <row r="326" spans="1:11" ht="12.3">
      <c r="A326" s="266">
        <v>42335</v>
      </c>
      <c r="B326" s="277" t="str">
        <f>HYPERLINK("http://earthquake-report.com/2015/11/27/strong-earthquake-monywa-burma-on-november-27-2015/","Myanmar, Sagaing")</f>
        <v>Myanmar, Sagaing</v>
      </c>
      <c r="C326" s="275">
        <v>5.5</v>
      </c>
      <c r="D326" s="268"/>
      <c r="E326" s="268"/>
      <c r="F326" s="269"/>
      <c r="G326" s="270"/>
      <c r="H326" s="271">
        <v>3</v>
      </c>
      <c r="I326" s="272"/>
      <c r="J326" s="272">
        <v>3</v>
      </c>
      <c r="K326" s="273" t="s">
        <v>23</v>
      </c>
    </row>
    <row r="327" spans="1:11" ht="12.3">
      <c r="A327" s="266">
        <v>42336</v>
      </c>
      <c r="B327" s="267" t="str">
        <f>HYPERLINK("http://wp.me/p1bAUO-Hen","OS Indonesia, Banten")</f>
        <v>OS Indonesia, Banten</v>
      </c>
      <c r="C327" s="275">
        <v>5.6</v>
      </c>
      <c r="D327" s="268">
        <v>75</v>
      </c>
      <c r="E327" s="268"/>
      <c r="F327" s="269" t="s">
        <v>23</v>
      </c>
      <c r="G327" s="270" t="s">
        <v>23</v>
      </c>
      <c r="H327" s="271" t="s">
        <v>1478</v>
      </c>
      <c r="I327" s="272"/>
      <c r="J327" s="272">
        <v>0</v>
      </c>
      <c r="K327" s="273" t="s">
        <v>23</v>
      </c>
    </row>
    <row r="328" spans="1:11" ht="12.3">
      <c r="A328" s="266">
        <v>42337</v>
      </c>
      <c r="B328" s="277" t="str">
        <f>HYPERLINK("http://wp.me/p1bAUO-Hfi","Turkey, Malatya")</f>
        <v>Turkey, Malatya</v>
      </c>
      <c r="C328" s="268">
        <v>5.0999999999999996</v>
      </c>
      <c r="D328" s="268">
        <v>5</v>
      </c>
      <c r="E328" s="268"/>
      <c r="F328" s="269" t="s">
        <v>23</v>
      </c>
      <c r="G328" s="270">
        <v>1</v>
      </c>
      <c r="H328" s="271">
        <v>3</v>
      </c>
      <c r="I328" s="272">
        <v>873</v>
      </c>
      <c r="J328" s="272"/>
      <c r="K328" s="273" t="s">
        <v>23</v>
      </c>
    </row>
    <row r="329" spans="1:11" ht="12.3">
      <c r="A329" s="266">
        <v>42338</v>
      </c>
      <c r="B329" s="267" t="str">
        <f>HYPERLINK("http://wp.me/p1bAUO-Hhh","USA, Oklahoma")</f>
        <v>USA, Oklahoma</v>
      </c>
      <c r="C329" s="268" t="s">
        <v>1862</v>
      </c>
      <c r="D329" s="268">
        <v>5</v>
      </c>
      <c r="E329" s="268"/>
      <c r="F329" s="269" t="s">
        <v>23</v>
      </c>
      <c r="G329" s="270" t="s">
        <v>23</v>
      </c>
      <c r="H329" s="271">
        <v>1</v>
      </c>
      <c r="I329" s="272"/>
      <c r="J329" s="272">
        <v>0</v>
      </c>
      <c r="K329" s="273" t="s">
        <v>23</v>
      </c>
    </row>
    <row r="330" spans="1:11" ht="12.3">
      <c r="A330" s="266">
        <v>42339</v>
      </c>
      <c r="B330" s="267" t="str">
        <f>HYPERLINK("http://wp.me/p1bAUO-Hit","Kyrgyzstan, Jalalabad")</f>
        <v>Kyrgyzstan, Jalalabad</v>
      </c>
      <c r="C330" s="268">
        <v>5.3</v>
      </c>
      <c r="D330" s="268"/>
      <c r="E330" s="268" t="s">
        <v>365</v>
      </c>
      <c r="F330" s="269" t="s">
        <v>23</v>
      </c>
      <c r="G330" s="270" t="s">
        <v>23</v>
      </c>
      <c r="H330" s="271" t="s">
        <v>1478</v>
      </c>
      <c r="I330" s="272">
        <v>22</v>
      </c>
      <c r="J330" s="272">
        <v>0</v>
      </c>
      <c r="K330" s="273" t="s">
        <v>23</v>
      </c>
    </row>
    <row r="331" spans="1:11" ht="12.3">
      <c r="A331" s="266">
        <v>42339</v>
      </c>
      <c r="B331" s="277" t="str">
        <f>HYPERLINK("http://wp.me/p1bAUO-HiU","Indonesia, North Molukka")</f>
        <v>Indonesia, North Molukka</v>
      </c>
      <c r="C331" s="268">
        <v>4.8</v>
      </c>
      <c r="D331" s="268"/>
      <c r="E331" s="268"/>
      <c r="F331" s="269" t="s">
        <v>23</v>
      </c>
      <c r="G331" s="270" t="s">
        <v>23</v>
      </c>
      <c r="H331" s="271">
        <v>3</v>
      </c>
      <c r="I331" s="272">
        <f>1593-934</f>
        <v>659</v>
      </c>
      <c r="J331" s="272"/>
      <c r="K331" s="273" t="s">
        <v>23</v>
      </c>
    </row>
    <row r="332" spans="1:11" ht="12.3">
      <c r="A332" s="266">
        <v>42340</v>
      </c>
      <c r="B332" s="277" t="str">
        <f>HYPERLINK("http://wp.me/p1bAUO-Hle","Turkey, Bingol")</f>
        <v>Turkey, Bingol</v>
      </c>
      <c r="C332" s="275">
        <v>5.5</v>
      </c>
      <c r="D332" s="268">
        <v>5</v>
      </c>
      <c r="E332" s="268"/>
      <c r="F332" s="269" t="s">
        <v>23</v>
      </c>
      <c r="G332" s="270" t="s">
        <v>23</v>
      </c>
      <c r="H332" s="271">
        <v>3</v>
      </c>
      <c r="I332" s="272">
        <v>584</v>
      </c>
      <c r="J332" s="272">
        <v>2</v>
      </c>
      <c r="K332" s="273" t="s">
        <v>23</v>
      </c>
    </row>
    <row r="333" spans="1:11" ht="12.3">
      <c r="A333" s="266">
        <v>42342</v>
      </c>
      <c r="B333" s="267" t="str">
        <f>HYPERLINK("http://earthquake-report.com/2015/12/04/moderate-earthquake-firuzabad-iran-on-december-4-2015/","Iran, Farashband")</f>
        <v>Iran, Farashband</v>
      </c>
      <c r="C333" s="274">
        <v>5</v>
      </c>
      <c r="D333" s="268">
        <v>20</v>
      </c>
      <c r="E333" s="268"/>
      <c r="F333" s="269" t="s">
        <v>23</v>
      </c>
      <c r="G333" s="270">
        <v>3</v>
      </c>
      <c r="H333" s="271">
        <v>2</v>
      </c>
      <c r="I333" s="272"/>
      <c r="J333" s="272"/>
      <c r="K333" s="273" t="s">
        <v>23</v>
      </c>
    </row>
    <row r="334" spans="1:11" ht="12.3">
      <c r="A334" s="279">
        <v>42345</v>
      </c>
      <c r="B334" s="280" t="str">
        <f>HYPERLINK("http://wp.me/p1bAUO-HrF","Tajikistan, Badakhshan")</f>
        <v>Tajikistan, Badakhshan</v>
      </c>
      <c r="C334" s="282">
        <v>7.2</v>
      </c>
      <c r="D334" s="282">
        <v>30</v>
      </c>
      <c r="E334" s="282" t="s">
        <v>123</v>
      </c>
      <c r="F334" s="269">
        <v>2</v>
      </c>
      <c r="G334" s="287">
        <v>10</v>
      </c>
      <c r="H334" s="283">
        <v>4</v>
      </c>
      <c r="I334" s="284">
        <v>677</v>
      </c>
      <c r="J334" s="284">
        <v>237</v>
      </c>
      <c r="K334" s="285" t="s">
        <v>23</v>
      </c>
    </row>
    <row r="335" spans="1:11" ht="12.3">
      <c r="A335" s="266">
        <v>42345</v>
      </c>
      <c r="B335" s="275" t="s">
        <v>1864</v>
      </c>
      <c r="C335" s="275">
        <v>5.5</v>
      </c>
      <c r="D335" s="268">
        <v>26</v>
      </c>
      <c r="E335" s="268" t="s">
        <v>1364</v>
      </c>
      <c r="F335" s="269" t="s">
        <v>23</v>
      </c>
      <c r="G335" s="270" t="s">
        <v>23</v>
      </c>
      <c r="H335" s="271">
        <v>3</v>
      </c>
      <c r="I335" s="272">
        <v>122</v>
      </c>
      <c r="J335" s="272">
        <v>20</v>
      </c>
      <c r="K335" s="273" t="s">
        <v>23</v>
      </c>
    </row>
    <row r="336" spans="1:11" ht="12.3">
      <c r="A336" s="266">
        <v>42346</v>
      </c>
      <c r="B336" s="268" t="s">
        <v>1865</v>
      </c>
      <c r="C336" s="268">
        <v>3.8</v>
      </c>
      <c r="D336" s="268">
        <v>3</v>
      </c>
      <c r="E336" s="268"/>
      <c r="F336" s="269" t="s">
        <v>23</v>
      </c>
      <c r="G336" s="270" t="s">
        <v>23</v>
      </c>
      <c r="H336" s="271">
        <v>1</v>
      </c>
      <c r="I336" s="272">
        <v>0</v>
      </c>
      <c r="J336" s="272">
        <v>0</v>
      </c>
      <c r="K336" s="273" t="s">
        <v>23</v>
      </c>
    </row>
    <row r="337" spans="1:11" ht="12.3">
      <c r="A337" s="266">
        <v>42347</v>
      </c>
      <c r="B337" s="268" t="s">
        <v>1866</v>
      </c>
      <c r="C337" s="275">
        <v>6.9</v>
      </c>
      <c r="D337" s="268">
        <v>40</v>
      </c>
      <c r="E337" s="268" t="s">
        <v>134</v>
      </c>
      <c r="F337" s="269" t="s">
        <v>23</v>
      </c>
      <c r="G337" s="270" t="s">
        <v>23</v>
      </c>
      <c r="H337" s="271" t="s">
        <v>23</v>
      </c>
      <c r="I337" s="272">
        <v>0</v>
      </c>
      <c r="J337" s="272">
        <v>0</v>
      </c>
      <c r="K337" s="273" t="s">
        <v>1325</v>
      </c>
    </row>
    <row r="338" spans="1:11" ht="12.3">
      <c r="A338" s="266">
        <v>42347</v>
      </c>
      <c r="B338" s="268" t="s">
        <v>1867</v>
      </c>
      <c r="C338" s="268">
        <v>4.5</v>
      </c>
      <c r="D338" s="268">
        <v>5</v>
      </c>
      <c r="E338" s="268"/>
      <c r="F338" s="269" t="s">
        <v>23</v>
      </c>
      <c r="G338" s="270" t="s">
        <v>23</v>
      </c>
      <c r="H338" s="271">
        <v>2</v>
      </c>
      <c r="I338" s="272"/>
      <c r="J338" s="272">
        <v>0</v>
      </c>
      <c r="K338" s="273" t="s">
        <v>23</v>
      </c>
    </row>
    <row r="339" spans="1:11" ht="12.3">
      <c r="A339" s="266">
        <v>42353</v>
      </c>
      <c r="B339" s="268" t="s">
        <v>1868</v>
      </c>
      <c r="C339" s="268">
        <v>4.2</v>
      </c>
      <c r="D339" s="268"/>
      <c r="E339" s="268"/>
      <c r="F339" s="269" t="s">
        <v>23</v>
      </c>
      <c r="G339" s="270"/>
      <c r="H339" s="271" t="s">
        <v>1478</v>
      </c>
      <c r="I339" s="272"/>
      <c r="J339" s="272">
        <v>0</v>
      </c>
      <c r="K339" s="273" t="s">
        <v>23</v>
      </c>
    </row>
    <row r="340" spans="1:11" ht="12.3">
      <c r="A340" s="266">
        <v>42353</v>
      </c>
      <c r="B340" s="268" t="s">
        <v>1584</v>
      </c>
      <c r="C340" s="268">
        <v>4.4000000000000004</v>
      </c>
      <c r="D340" s="268">
        <v>10</v>
      </c>
      <c r="E340" s="268"/>
      <c r="F340" s="269" t="s">
        <v>23</v>
      </c>
      <c r="G340" s="270" t="s">
        <v>23</v>
      </c>
      <c r="H340" s="271">
        <v>1</v>
      </c>
      <c r="I340" s="272">
        <v>12</v>
      </c>
      <c r="J340" s="272">
        <v>0</v>
      </c>
      <c r="K340" s="273" t="s">
        <v>23</v>
      </c>
    </row>
    <row r="341" spans="1:11" ht="12.3">
      <c r="A341" s="279">
        <v>42355</v>
      </c>
      <c r="B341" s="282" t="s">
        <v>1869</v>
      </c>
      <c r="C341" s="282">
        <v>6.6</v>
      </c>
      <c r="D341" s="282">
        <v>90</v>
      </c>
      <c r="E341" s="282"/>
      <c r="F341" s="269">
        <v>1</v>
      </c>
      <c r="G341" s="287" t="s">
        <v>23</v>
      </c>
      <c r="H341" s="283" t="s">
        <v>1511</v>
      </c>
      <c r="I341" s="284"/>
      <c r="J341" s="284">
        <v>2</v>
      </c>
      <c r="K341" s="285" t="s">
        <v>23</v>
      </c>
    </row>
    <row r="342" spans="1:11" ht="12.3">
      <c r="A342" s="266">
        <v>42356</v>
      </c>
      <c r="B342" s="268" t="s">
        <v>1621</v>
      </c>
      <c r="C342" s="275">
        <v>5.5</v>
      </c>
      <c r="D342" s="268"/>
      <c r="E342" s="268"/>
      <c r="F342" s="269"/>
      <c r="G342" s="270"/>
      <c r="H342" s="271" t="s">
        <v>1478</v>
      </c>
      <c r="I342" s="272"/>
      <c r="J342" s="272"/>
      <c r="K342" s="273" t="s">
        <v>23</v>
      </c>
    </row>
    <row r="343" spans="1:11" ht="12.3">
      <c r="A343" s="279">
        <v>42358</v>
      </c>
      <c r="B343" s="282" t="s">
        <v>1870</v>
      </c>
      <c r="C343" s="282">
        <v>6.1</v>
      </c>
      <c r="D343" s="282">
        <v>10</v>
      </c>
      <c r="E343" s="282" t="s">
        <v>123</v>
      </c>
      <c r="F343" s="269">
        <v>1</v>
      </c>
      <c r="G343" s="287">
        <v>10</v>
      </c>
      <c r="H343" s="283">
        <v>3</v>
      </c>
      <c r="I343" s="284"/>
      <c r="J343" s="284">
        <v>7</v>
      </c>
      <c r="K343" s="285" t="s">
        <v>23</v>
      </c>
    </row>
    <row r="344" spans="1:11" ht="12.3">
      <c r="A344" s="266">
        <v>42359</v>
      </c>
      <c r="B344" s="268" t="s">
        <v>1871</v>
      </c>
      <c r="C344" s="268">
        <v>3.9</v>
      </c>
      <c r="D344" s="268">
        <v>7</v>
      </c>
      <c r="E344" s="268"/>
      <c r="F344" s="269" t="s">
        <v>23</v>
      </c>
      <c r="G344" s="270" t="s">
        <v>23</v>
      </c>
      <c r="H344" s="271">
        <v>1</v>
      </c>
      <c r="I344" s="272">
        <v>2</v>
      </c>
      <c r="J344" s="272">
        <v>0</v>
      </c>
      <c r="K344" s="273" t="s">
        <v>23</v>
      </c>
    </row>
    <row r="345" spans="1:11" ht="12.3">
      <c r="A345" s="266">
        <v>42359</v>
      </c>
      <c r="B345" s="268" t="s">
        <v>1872</v>
      </c>
      <c r="C345" s="268">
        <v>4.5</v>
      </c>
      <c r="D345" s="268">
        <v>4</v>
      </c>
      <c r="E345" s="268"/>
      <c r="F345" s="269" t="s">
        <v>23</v>
      </c>
      <c r="G345" s="270" t="s">
        <v>23</v>
      </c>
      <c r="H345" s="271" t="s">
        <v>1478</v>
      </c>
      <c r="I345" s="272">
        <v>10</v>
      </c>
      <c r="J345" s="272">
        <v>0</v>
      </c>
      <c r="K345" s="273" t="s">
        <v>23</v>
      </c>
    </row>
    <row r="346" spans="1:11" ht="12.3">
      <c r="A346" s="266">
        <v>42360</v>
      </c>
      <c r="B346" s="268" t="s">
        <v>1873</v>
      </c>
      <c r="C346" s="268" t="s">
        <v>1541</v>
      </c>
      <c r="D346" s="268">
        <v>1</v>
      </c>
      <c r="E346" s="268" t="s">
        <v>134</v>
      </c>
      <c r="F346" s="269" t="s">
        <v>23</v>
      </c>
      <c r="G346" s="270" t="s">
        <v>23</v>
      </c>
      <c r="H346" s="271">
        <v>1</v>
      </c>
      <c r="I346" s="272">
        <v>30</v>
      </c>
      <c r="J346" s="272">
        <v>0</v>
      </c>
      <c r="K346" s="273" t="s">
        <v>23</v>
      </c>
    </row>
    <row r="347" spans="1:11" ht="12.3">
      <c r="A347" s="266">
        <v>42361</v>
      </c>
      <c r="B347" s="268" t="s">
        <v>1481</v>
      </c>
      <c r="C347" s="268">
        <v>4.2</v>
      </c>
      <c r="D347" s="268">
        <v>7</v>
      </c>
      <c r="E347" s="268"/>
      <c r="F347" s="269" t="s">
        <v>23</v>
      </c>
      <c r="G347" s="270" t="s">
        <v>23</v>
      </c>
      <c r="H347" s="271">
        <v>1</v>
      </c>
      <c r="I347" s="272">
        <v>12</v>
      </c>
      <c r="J347" s="272">
        <v>0</v>
      </c>
      <c r="K347" s="273" t="s">
        <v>23</v>
      </c>
    </row>
    <row r="348" spans="1:11" ht="12.3">
      <c r="A348" s="266">
        <v>42362</v>
      </c>
      <c r="B348" s="268" t="s">
        <v>1874</v>
      </c>
      <c r="C348" s="268">
        <v>3.2</v>
      </c>
      <c r="D348" s="268"/>
      <c r="E348" s="268"/>
      <c r="F348" s="269" t="s">
        <v>23</v>
      </c>
      <c r="G348" s="270" t="s">
        <v>23</v>
      </c>
      <c r="H348" s="271" t="s">
        <v>1478</v>
      </c>
      <c r="I348" s="272"/>
      <c r="J348" s="272">
        <v>0</v>
      </c>
      <c r="K348" s="273" t="s">
        <v>23</v>
      </c>
    </row>
    <row r="349" spans="1:11" ht="12.3">
      <c r="A349" s="266">
        <v>42363</v>
      </c>
      <c r="B349" s="268" t="s">
        <v>1553</v>
      </c>
      <c r="C349" s="268" t="s">
        <v>1875</v>
      </c>
      <c r="D349" s="268">
        <v>0</v>
      </c>
      <c r="E349" s="268"/>
      <c r="F349" s="269" t="s">
        <v>23</v>
      </c>
      <c r="G349" s="270" t="s">
        <v>23</v>
      </c>
      <c r="H349" s="271">
        <v>1</v>
      </c>
      <c r="I349" s="272"/>
      <c r="J349" s="272">
        <v>0</v>
      </c>
      <c r="K349" s="273" t="s">
        <v>23</v>
      </c>
    </row>
    <row r="350" spans="1:11" ht="12.3">
      <c r="A350" s="266">
        <v>42363</v>
      </c>
      <c r="B350" s="268" t="s">
        <v>1876</v>
      </c>
      <c r="C350" s="268">
        <v>3.9</v>
      </c>
      <c r="D350" s="268"/>
      <c r="E350" s="268"/>
      <c r="F350" s="293" t="s">
        <v>23</v>
      </c>
      <c r="G350" s="294" t="s">
        <v>23</v>
      </c>
      <c r="H350" s="271">
        <v>1</v>
      </c>
      <c r="I350" s="272">
        <v>6</v>
      </c>
      <c r="J350" s="272">
        <v>0</v>
      </c>
      <c r="K350" s="273" t="s">
        <v>23</v>
      </c>
    </row>
    <row r="351" spans="1:11" ht="12.3">
      <c r="A351" s="279">
        <v>42363</v>
      </c>
      <c r="B351" s="280" t="str">
        <f>HYPERLINK("http://wp.me/p1bAUO-HRy","Afghanistan, Badakhshan (aftershock)")</f>
        <v>Afghanistan, Badakhshan (aftershock)</v>
      </c>
      <c r="C351" s="282">
        <v>6.2</v>
      </c>
      <c r="D351" s="282">
        <v>191</v>
      </c>
      <c r="E351" s="282"/>
      <c r="F351" s="269">
        <v>6</v>
      </c>
      <c r="G351" s="287">
        <f>92+12+15</f>
        <v>119</v>
      </c>
      <c r="H351" s="283" t="s">
        <v>1508</v>
      </c>
      <c r="I351" s="284">
        <v>103</v>
      </c>
      <c r="J351" s="284">
        <v>6</v>
      </c>
      <c r="K351" s="285" t="s">
        <v>23</v>
      </c>
    </row>
    <row r="352" spans="1:11" ht="12.3">
      <c r="A352" s="266">
        <v>42367</v>
      </c>
      <c r="B352" s="268" t="s">
        <v>1551</v>
      </c>
      <c r="C352" s="268">
        <v>3.2</v>
      </c>
      <c r="D352" s="268"/>
      <c r="E352" s="268"/>
      <c r="F352" s="269" t="s">
        <v>23</v>
      </c>
      <c r="G352" s="270" t="s">
        <v>23</v>
      </c>
      <c r="H352" s="271">
        <v>1</v>
      </c>
      <c r="I352" s="272">
        <v>1</v>
      </c>
      <c r="J352" s="272">
        <v>0</v>
      </c>
      <c r="K352" s="273" t="s">
        <v>23</v>
      </c>
    </row>
    <row r="353" spans="1:11" ht="12.3">
      <c r="A353" s="266">
        <v>42367</v>
      </c>
      <c r="B353" s="268" t="s">
        <v>1471</v>
      </c>
      <c r="C353" s="268">
        <v>4.3</v>
      </c>
      <c r="D353" s="268">
        <v>7</v>
      </c>
      <c r="E353" s="268" t="s">
        <v>134</v>
      </c>
      <c r="F353" s="269" t="s">
        <v>23</v>
      </c>
      <c r="G353" s="270" t="s">
        <v>23</v>
      </c>
      <c r="H353" s="271" t="s">
        <v>1478</v>
      </c>
      <c r="I353" s="272"/>
      <c r="J353" s="272">
        <v>0</v>
      </c>
      <c r="K353" s="273" t="s">
        <v>23</v>
      </c>
    </row>
    <row r="354" spans="1:11" ht="12.3">
      <c r="A354" s="266">
        <v>42367</v>
      </c>
      <c r="B354" s="268" t="s">
        <v>1877</v>
      </c>
      <c r="C354" s="268">
        <v>4.7</v>
      </c>
      <c r="D354" s="268">
        <v>22</v>
      </c>
      <c r="E354" s="268"/>
      <c r="F354" s="269" t="s">
        <v>23</v>
      </c>
      <c r="G354" s="270" t="s">
        <v>23</v>
      </c>
      <c r="H354" s="271">
        <v>1</v>
      </c>
      <c r="I354" s="272">
        <v>1</v>
      </c>
      <c r="J354" s="272">
        <v>0</v>
      </c>
      <c r="K354" s="273" t="s">
        <v>23</v>
      </c>
    </row>
    <row r="355" spans="1:11" ht="12.3">
      <c r="A355" s="266">
        <v>42368</v>
      </c>
      <c r="B355" s="268" t="s">
        <v>1782</v>
      </c>
      <c r="C355" s="268">
        <v>4.9000000000000004</v>
      </c>
      <c r="D355" s="268">
        <v>38</v>
      </c>
      <c r="E355" s="268" t="s">
        <v>684</v>
      </c>
      <c r="F355" s="269" t="s">
        <v>23</v>
      </c>
      <c r="G355" s="270" t="s">
        <v>23</v>
      </c>
      <c r="H355" s="271">
        <v>1</v>
      </c>
      <c r="I355" s="272">
        <v>2</v>
      </c>
      <c r="J355" s="272">
        <v>0</v>
      </c>
      <c r="K355" s="273" t="s">
        <v>23</v>
      </c>
    </row>
    <row r="356" spans="1:11" ht="12.3"/>
    <row r="357" spans="1:11" ht="12.3"/>
    <row r="358" spans="1:11" ht="12.3"/>
    <row r="359" spans="1:11" ht="12.3"/>
    <row r="360" spans="1:11" ht="12.3"/>
    <row r="361" spans="1:11" ht="12.3"/>
    <row r="362" spans="1:11" ht="12.3"/>
    <row r="363" spans="1:11" ht="12.3"/>
    <row r="364" spans="1:11" ht="12.3"/>
    <row r="365" spans="1:11" ht="12.3"/>
    <row r="366" spans="1:11" ht="12.3"/>
    <row r="367" spans="1:11" ht="12.3"/>
    <row r="368" spans="1:11" ht="12.3"/>
    <row r="369" ht="12.3"/>
    <row r="370" ht="12.3"/>
    <row r="371" ht="12.3"/>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FE9FC-5991-41C7-A09E-204EF42F6687}">
  <sheetPr>
    <outlinePr summaryBelow="0" summaryRight="0"/>
  </sheetPr>
  <dimension ref="A1:L338"/>
  <sheetViews>
    <sheetView topLeftCell="D1" workbookViewId="0">
      <pane ySplit="1" topLeftCell="A2" activePane="bottomLeft" state="frozen"/>
      <selection pane="bottomLeft" activeCell="D1" sqref="D1"/>
    </sheetView>
    <sheetView workbookViewId="1">
      <selection activeCell="K338" sqref="K338"/>
    </sheetView>
  </sheetViews>
  <sheetFormatPr defaultColWidth="13.68359375" defaultRowHeight="15.75" customHeight="1"/>
  <cols>
    <col min="1" max="1" width="10.68359375" style="8" customWidth="1"/>
    <col min="2" max="2" width="41.9453125" style="8" customWidth="1"/>
    <col min="3" max="3" width="17.05078125" style="8" customWidth="1"/>
    <col min="4" max="4" width="9.734375" style="8" customWidth="1"/>
    <col min="5" max="5" width="6.20703125" style="8" customWidth="1"/>
    <col min="6" max="6" width="8.26171875" style="8" customWidth="1"/>
    <col min="7" max="7" width="8.62890625" style="8" customWidth="1"/>
    <col min="8" max="8" width="7.68359375" style="8" customWidth="1"/>
    <col min="9" max="9" width="8" style="8" customWidth="1"/>
    <col min="10" max="10" width="9.20703125" style="8" customWidth="1"/>
    <col min="11" max="11" width="8.9453125" style="8" customWidth="1"/>
    <col min="12" max="12" width="6.3671875" style="8" customWidth="1"/>
    <col min="13" max="16384" width="13.68359375" style="8"/>
  </cols>
  <sheetData>
    <row r="1" spans="1:12" ht="29.25" customHeight="1">
      <c r="A1" s="211" t="s">
        <v>0</v>
      </c>
      <c r="B1" s="211" t="s">
        <v>1468</v>
      </c>
      <c r="C1" s="211" t="s">
        <v>1466</v>
      </c>
      <c r="D1" s="211" t="s">
        <v>1078</v>
      </c>
      <c r="E1" s="211" t="s">
        <v>5</v>
      </c>
      <c r="F1" s="211" t="s">
        <v>1464</v>
      </c>
      <c r="G1" s="215" t="s">
        <v>9</v>
      </c>
      <c r="H1" s="216" t="s">
        <v>10</v>
      </c>
      <c r="I1" s="217" t="s">
        <v>1469</v>
      </c>
      <c r="J1" s="206" t="s">
        <v>13</v>
      </c>
      <c r="K1" s="206" t="s">
        <v>14</v>
      </c>
      <c r="L1" s="205" t="s">
        <v>1470</v>
      </c>
    </row>
    <row r="2" spans="1:12" ht="12.6">
      <c r="A2" s="218">
        <v>42370</v>
      </c>
      <c r="B2" s="197" t="s">
        <v>1471</v>
      </c>
      <c r="C2" s="197" t="s">
        <v>39</v>
      </c>
      <c r="D2" s="197" t="s">
        <v>1472</v>
      </c>
      <c r="E2" s="197">
        <v>5</v>
      </c>
      <c r="F2" s="197" t="s">
        <v>134</v>
      </c>
      <c r="G2" s="184" t="s">
        <v>23</v>
      </c>
      <c r="H2" s="195" t="s">
        <v>23</v>
      </c>
      <c r="I2" s="219">
        <v>1</v>
      </c>
      <c r="J2" s="220">
        <v>30</v>
      </c>
      <c r="K2" s="221">
        <v>0</v>
      </c>
      <c r="L2" s="191" t="s">
        <v>23</v>
      </c>
    </row>
    <row r="3" spans="1:12" ht="12.6">
      <c r="A3" s="218">
        <v>42370</v>
      </c>
      <c r="B3" s="196" t="s">
        <v>1473</v>
      </c>
      <c r="C3" s="196" t="s">
        <v>29</v>
      </c>
      <c r="D3" s="197">
        <v>5.3</v>
      </c>
      <c r="E3" s="197">
        <v>6</v>
      </c>
      <c r="F3" s="197"/>
      <c r="G3" s="184" t="s">
        <v>23</v>
      </c>
      <c r="H3" s="195">
        <v>1</v>
      </c>
      <c r="I3" s="219">
        <v>2</v>
      </c>
      <c r="J3" s="220"/>
      <c r="K3" s="221">
        <v>1</v>
      </c>
      <c r="L3" s="191" t="s">
        <v>23</v>
      </c>
    </row>
    <row r="4" spans="1:12" ht="12.6">
      <c r="A4" s="218">
        <v>42370</v>
      </c>
      <c r="B4" s="197" t="s">
        <v>1475</v>
      </c>
      <c r="C4" s="197" t="s">
        <v>317</v>
      </c>
      <c r="D4" s="197">
        <v>1.9</v>
      </c>
      <c r="E4" s="197">
        <v>1</v>
      </c>
      <c r="F4" s="197"/>
      <c r="G4" s="184" t="s">
        <v>23</v>
      </c>
      <c r="H4" s="195" t="s">
        <v>23</v>
      </c>
      <c r="I4" s="219">
        <v>1</v>
      </c>
      <c r="J4" s="220">
        <v>10</v>
      </c>
      <c r="K4" s="221">
        <v>0</v>
      </c>
      <c r="L4" s="191" t="s">
        <v>23</v>
      </c>
    </row>
    <row r="5" spans="1:12" ht="12.6">
      <c r="A5" s="218">
        <v>42372</v>
      </c>
      <c r="B5" s="197" t="s">
        <v>1477</v>
      </c>
      <c r="C5" s="197" t="s">
        <v>83</v>
      </c>
      <c r="D5" s="197">
        <v>4.2</v>
      </c>
      <c r="E5" s="197">
        <v>13</v>
      </c>
      <c r="F5" s="197"/>
      <c r="G5" s="222" t="s">
        <v>23</v>
      </c>
      <c r="H5" s="223" t="s">
        <v>23</v>
      </c>
      <c r="I5" s="219" t="s">
        <v>1478</v>
      </c>
      <c r="J5" s="220">
        <v>20</v>
      </c>
      <c r="K5" s="221">
        <v>0</v>
      </c>
      <c r="L5" s="191" t="s">
        <v>23</v>
      </c>
    </row>
    <row r="6" spans="1:12" ht="12.3">
      <c r="A6" s="224">
        <v>42372</v>
      </c>
      <c r="B6" s="225" t="s">
        <v>1479</v>
      </c>
      <c r="C6" s="225" t="s">
        <v>24</v>
      </c>
      <c r="D6" s="225">
        <v>6.7</v>
      </c>
      <c r="E6" s="225">
        <v>55</v>
      </c>
      <c r="F6" s="225" t="s">
        <v>123</v>
      </c>
      <c r="G6" s="184">
        <v>21</v>
      </c>
      <c r="H6" s="195">
        <v>517</v>
      </c>
      <c r="I6" s="226">
        <v>5</v>
      </c>
      <c r="J6" s="227">
        <f>10555+388</f>
        <v>10943</v>
      </c>
      <c r="K6" s="227">
        <f>995</f>
        <v>995</v>
      </c>
      <c r="L6" s="228" t="s">
        <v>23</v>
      </c>
    </row>
    <row r="7" spans="1:12" ht="12.3">
      <c r="A7" s="224"/>
      <c r="B7" s="225"/>
      <c r="C7" s="225" t="s">
        <v>1262</v>
      </c>
      <c r="D7" s="225"/>
      <c r="E7" s="225"/>
      <c r="F7" s="225"/>
      <c r="G7" s="184"/>
      <c r="H7" s="195"/>
      <c r="I7" s="226"/>
      <c r="J7" s="227"/>
      <c r="K7" s="227"/>
      <c r="L7" s="228"/>
    </row>
    <row r="8" spans="1:12" ht="12.3">
      <c r="A8" s="224"/>
      <c r="B8" s="225"/>
      <c r="C8" s="225" t="s">
        <v>1263</v>
      </c>
      <c r="D8" s="225"/>
      <c r="E8" s="225"/>
      <c r="F8" s="225"/>
      <c r="G8" s="184"/>
      <c r="H8" s="195"/>
      <c r="I8" s="226"/>
      <c r="J8" s="227"/>
      <c r="K8" s="227"/>
      <c r="L8" s="228"/>
    </row>
    <row r="9" spans="1:12" ht="12.6">
      <c r="A9" s="218">
        <v>42373</v>
      </c>
      <c r="B9" s="197" t="s">
        <v>1481</v>
      </c>
      <c r="C9" s="197" t="s">
        <v>83</v>
      </c>
      <c r="D9" s="197">
        <v>4.5999999999999996</v>
      </c>
      <c r="E9" s="197">
        <v>10</v>
      </c>
      <c r="F9" s="197"/>
      <c r="G9" s="184" t="s">
        <v>23</v>
      </c>
      <c r="H9" s="195" t="s">
        <v>23</v>
      </c>
      <c r="I9" s="219" t="s">
        <v>1478</v>
      </c>
      <c r="J9" s="220">
        <v>15</v>
      </c>
      <c r="K9" s="221">
        <v>0</v>
      </c>
      <c r="L9" s="191" t="s">
        <v>23</v>
      </c>
    </row>
    <row r="10" spans="1:12" ht="12.6">
      <c r="A10" s="229" t="s">
        <v>1483</v>
      </c>
      <c r="B10" s="229" t="s">
        <v>1484</v>
      </c>
      <c r="C10" s="229"/>
      <c r="D10" s="229" t="s">
        <v>1485</v>
      </c>
      <c r="E10" s="229"/>
      <c r="F10" s="229"/>
      <c r="G10" s="230" t="s">
        <v>23</v>
      </c>
      <c r="H10" s="231" t="s">
        <v>23</v>
      </c>
      <c r="I10" s="232" t="s">
        <v>1486</v>
      </c>
      <c r="J10" s="220" t="s">
        <v>1486</v>
      </c>
      <c r="K10" s="220" t="s">
        <v>1487</v>
      </c>
      <c r="L10" s="233" t="s">
        <v>1488</v>
      </c>
    </row>
    <row r="11" spans="1:12" ht="12.6">
      <c r="A11" s="218">
        <v>42376</v>
      </c>
      <c r="B11" s="197" t="s">
        <v>1471</v>
      </c>
      <c r="C11" s="197" t="s">
        <v>39</v>
      </c>
      <c r="D11" s="197" t="s">
        <v>1489</v>
      </c>
      <c r="E11" s="197">
        <v>6</v>
      </c>
      <c r="F11" s="197" t="s">
        <v>35</v>
      </c>
      <c r="G11" s="184" t="s">
        <v>23</v>
      </c>
      <c r="H11" s="195" t="s">
        <v>23</v>
      </c>
      <c r="I11" s="219" t="s">
        <v>1478</v>
      </c>
      <c r="J11" s="220">
        <v>30</v>
      </c>
      <c r="K11" s="221">
        <v>0</v>
      </c>
      <c r="L11" s="191" t="s">
        <v>23</v>
      </c>
    </row>
    <row r="12" spans="1:12" ht="12.6">
      <c r="A12" s="218">
        <v>42377</v>
      </c>
      <c r="B12" s="197" t="s">
        <v>1491</v>
      </c>
      <c r="C12" s="197" t="s">
        <v>608</v>
      </c>
      <c r="D12" s="234">
        <v>5</v>
      </c>
      <c r="E12" s="197">
        <v>219</v>
      </c>
      <c r="F12" s="197"/>
      <c r="G12" s="222" t="s">
        <v>23</v>
      </c>
      <c r="H12" s="223" t="s">
        <v>23</v>
      </c>
      <c r="I12" s="219" t="s">
        <v>1478</v>
      </c>
      <c r="J12" s="220">
        <v>5</v>
      </c>
      <c r="K12" s="221">
        <v>0</v>
      </c>
      <c r="L12" s="191" t="s">
        <v>23</v>
      </c>
    </row>
    <row r="13" spans="1:12" ht="12.3">
      <c r="A13" s="218">
        <v>42377</v>
      </c>
      <c r="B13" s="197" t="s">
        <v>1492</v>
      </c>
      <c r="C13" s="197" t="s">
        <v>44</v>
      </c>
      <c r="D13" s="197">
        <v>5.3</v>
      </c>
      <c r="E13" s="197">
        <v>89</v>
      </c>
      <c r="F13" s="197"/>
      <c r="G13" s="184" t="s">
        <v>23</v>
      </c>
      <c r="H13" s="195" t="s">
        <v>23</v>
      </c>
      <c r="I13" s="219" t="s">
        <v>1478</v>
      </c>
      <c r="J13" s="221"/>
      <c r="K13" s="221">
        <v>0</v>
      </c>
      <c r="L13" s="191" t="s">
        <v>23</v>
      </c>
    </row>
    <row r="14" spans="1:12" ht="12.3">
      <c r="A14" s="218">
        <v>42378</v>
      </c>
      <c r="B14" s="197" t="s">
        <v>1494</v>
      </c>
      <c r="C14" s="197" t="s">
        <v>1432</v>
      </c>
      <c r="D14" s="197">
        <v>4.5999999999999996</v>
      </c>
      <c r="E14" s="197"/>
      <c r="F14" s="197"/>
      <c r="G14" s="222" t="s">
        <v>23</v>
      </c>
      <c r="H14" s="223" t="s">
        <v>23</v>
      </c>
      <c r="I14" s="235">
        <v>1</v>
      </c>
      <c r="J14" s="221">
        <v>1</v>
      </c>
      <c r="K14" s="221">
        <v>0</v>
      </c>
      <c r="L14" s="191" t="s">
        <v>23</v>
      </c>
    </row>
    <row r="15" spans="1:12" ht="12.3">
      <c r="A15" s="218">
        <v>42379</v>
      </c>
      <c r="B15" s="196" t="s">
        <v>1496</v>
      </c>
      <c r="C15" s="196" t="s">
        <v>105</v>
      </c>
      <c r="D15" s="234">
        <v>5</v>
      </c>
      <c r="E15" s="236">
        <v>4</v>
      </c>
      <c r="F15" s="197"/>
      <c r="G15" s="184" t="s">
        <v>23</v>
      </c>
      <c r="H15" s="195">
        <v>1</v>
      </c>
      <c r="I15" s="219" t="s">
        <v>1478</v>
      </c>
      <c r="J15" s="221">
        <v>20</v>
      </c>
      <c r="K15" s="221">
        <v>0</v>
      </c>
      <c r="L15" s="191" t="s">
        <v>23</v>
      </c>
    </row>
    <row r="16" spans="1:12" ht="12.3">
      <c r="A16" s="218">
        <v>42379</v>
      </c>
      <c r="B16" s="197" t="s">
        <v>1497</v>
      </c>
      <c r="C16" s="197" t="s">
        <v>531</v>
      </c>
      <c r="D16" s="197"/>
      <c r="E16" s="197"/>
      <c r="F16" s="197"/>
      <c r="G16" s="184" t="s">
        <v>23</v>
      </c>
      <c r="H16" s="195" t="s">
        <v>23</v>
      </c>
      <c r="I16" s="219" t="s">
        <v>1478</v>
      </c>
      <c r="J16" s="221"/>
      <c r="K16" s="221">
        <v>0</v>
      </c>
      <c r="L16" s="191" t="s">
        <v>23</v>
      </c>
    </row>
    <row r="17" spans="1:12" ht="12.3">
      <c r="A17" s="218">
        <v>42381</v>
      </c>
      <c r="B17" s="196" t="s">
        <v>1491</v>
      </c>
      <c r="C17" s="196" t="s">
        <v>608</v>
      </c>
      <c r="D17" s="196">
        <v>5.8</v>
      </c>
      <c r="E17" s="197">
        <v>220</v>
      </c>
      <c r="F17" s="197" t="s">
        <v>134</v>
      </c>
      <c r="G17" s="184" t="s">
        <v>23</v>
      </c>
      <c r="H17" s="195">
        <v>3</v>
      </c>
      <c r="I17" s="219">
        <v>2</v>
      </c>
      <c r="J17" s="221"/>
      <c r="K17" s="221">
        <v>1</v>
      </c>
      <c r="L17" s="191" t="s">
        <v>23</v>
      </c>
    </row>
    <row r="18" spans="1:12" ht="12.3">
      <c r="A18" s="218">
        <v>42381</v>
      </c>
      <c r="B18" s="197" t="s">
        <v>1475</v>
      </c>
      <c r="C18" s="197" t="s">
        <v>317</v>
      </c>
      <c r="D18" s="197">
        <v>1.7</v>
      </c>
      <c r="E18" s="197">
        <v>1</v>
      </c>
      <c r="F18" s="197"/>
      <c r="G18" s="184" t="s">
        <v>23</v>
      </c>
      <c r="H18" s="195" t="s">
        <v>23</v>
      </c>
      <c r="I18" s="219" t="s">
        <v>1478</v>
      </c>
      <c r="J18" s="221">
        <v>90</v>
      </c>
      <c r="K18" s="221">
        <v>0</v>
      </c>
      <c r="L18" s="191" t="s">
        <v>23</v>
      </c>
    </row>
    <row r="19" spans="1:12" ht="12.3">
      <c r="A19" s="218">
        <v>42382</v>
      </c>
      <c r="B19" s="197" t="s">
        <v>1499</v>
      </c>
      <c r="C19" s="197" t="s">
        <v>83</v>
      </c>
      <c r="D19" s="197">
        <v>3.6</v>
      </c>
      <c r="E19" s="197">
        <v>6</v>
      </c>
      <c r="F19" s="197"/>
      <c r="G19" s="184" t="s">
        <v>23</v>
      </c>
      <c r="H19" s="195" t="s">
        <v>23</v>
      </c>
      <c r="I19" s="219" t="s">
        <v>1478</v>
      </c>
      <c r="J19" s="221"/>
      <c r="K19" s="221">
        <v>0</v>
      </c>
      <c r="L19" s="191" t="s">
        <v>23</v>
      </c>
    </row>
    <row r="20" spans="1:12" ht="12.3">
      <c r="A20" s="218">
        <v>42382</v>
      </c>
      <c r="B20" s="197" t="s">
        <v>1500</v>
      </c>
      <c r="C20" s="197" t="s">
        <v>44</v>
      </c>
      <c r="D20" s="197"/>
      <c r="E20" s="197"/>
      <c r="F20" s="197"/>
      <c r="G20" s="184" t="s">
        <v>23</v>
      </c>
      <c r="H20" s="195" t="s">
        <v>23</v>
      </c>
      <c r="I20" s="219">
        <v>1</v>
      </c>
      <c r="J20" s="221"/>
      <c r="K20" s="221">
        <v>0</v>
      </c>
      <c r="L20" s="191" t="s">
        <v>23</v>
      </c>
    </row>
    <row r="21" spans="1:12" ht="12.3">
      <c r="A21" s="218">
        <v>42382</v>
      </c>
      <c r="B21" s="197" t="s">
        <v>1481</v>
      </c>
      <c r="C21" s="197" t="s">
        <v>1501</v>
      </c>
      <c r="D21" s="197">
        <v>5.3</v>
      </c>
      <c r="E21" s="197">
        <v>5</v>
      </c>
      <c r="F21" s="197" t="s">
        <v>123</v>
      </c>
      <c r="G21" s="184" t="s">
        <v>23</v>
      </c>
      <c r="H21" s="195" t="s">
        <v>23</v>
      </c>
      <c r="I21" s="219">
        <v>1</v>
      </c>
      <c r="J21" s="221"/>
      <c r="K21" s="221">
        <v>0</v>
      </c>
      <c r="L21" s="191" t="s">
        <v>23</v>
      </c>
    </row>
    <row r="22" spans="1:12" ht="12.3">
      <c r="A22" s="218">
        <v>42383</v>
      </c>
      <c r="B22" s="197" t="s">
        <v>1502</v>
      </c>
      <c r="C22" s="197" t="s">
        <v>258</v>
      </c>
      <c r="D22" s="196">
        <v>6.7</v>
      </c>
      <c r="E22" s="197">
        <v>50</v>
      </c>
      <c r="F22" s="197" t="s">
        <v>1503</v>
      </c>
      <c r="G22" s="184" t="s">
        <v>23</v>
      </c>
      <c r="H22" s="195">
        <v>2</v>
      </c>
      <c r="I22" s="219" t="s">
        <v>23</v>
      </c>
      <c r="J22" s="221">
        <v>0</v>
      </c>
      <c r="K22" s="221">
        <v>0</v>
      </c>
      <c r="L22" s="191" t="s">
        <v>23</v>
      </c>
    </row>
    <row r="23" spans="1:12" ht="12.3">
      <c r="A23" s="218">
        <v>42383</v>
      </c>
      <c r="B23" s="197" t="s">
        <v>1504</v>
      </c>
      <c r="C23" s="197" t="s">
        <v>726</v>
      </c>
      <c r="D23" s="197" t="s">
        <v>1505</v>
      </c>
      <c r="E23" s="197">
        <v>5</v>
      </c>
      <c r="F23" s="197" t="s">
        <v>684</v>
      </c>
      <c r="G23" s="184" t="s">
        <v>23</v>
      </c>
      <c r="H23" s="195" t="s">
        <v>23</v>
      </c>
      <c r="I23" s="219">
        <v>1</v>
      </c>
      <c r="J23" s="221"/>
      <c r="K23" s="221">
        <v>0</v>
      </c>
      <c r="L23" s="191" t="s">
        <v>23</v>
      </c>
    </row>
    <row r="24" spans="1:12" ht="12.3">
      <c r="A24" s="218">
        <v>42385</v>
      </c>
      <c r="B24" s="197" t="s">
        <v>1506</v>
      </c>
      <c r="C24" s="197" t="s">
        <v>199</v>
      </c>
      <c r="D24" s="197">
        <v>4.3</v>
      </c>
      <c r="E24" s="197">
        <v>10</v>
      </c>
      <c r="F24" s="197" t="s">
        <v>134</v>
      </c>
      <c r="G24" s="184" t="s">
        <v>23</v>
      </c>
      <c r="H24" s="195" t="s">
        <v>23</v>
      </c>
      <c r="I24" s="219">
        <v>1</v>
      </c>
      <c r="J24" s="221">
        <v>1</v>
      </c>
      <c r="K24" s="221">
        <v>0</v>
      </c>
      <c r="L24" s="191" t="s">
        <v>23</v>
      </c>
    </row>
    <row r="25" spans="1:12" ht="12.3">
      <c r="A25" s="224">
        <v>42385</v>
      </c>
      <c r="B25" s="225" t="s">
        <v>1507</v>
      </c>
      <c r="C25" s="225" t="s">
        <v>44</v>
      </c>
      <c r="D25" s="225">
        <v>5.6</v>
      </c>
      <c r="E25" s="225">
        <v>4</v>
      </c>
      <c r="F25" s="225" t="s">
        <v>123</v>
      </c>
      <c r="G25" s="184">
        <v>1</v>
      </c>
      <c r="H25" s="237">
        <v>22</v>
      </c>
      <c r="I25" s="238" t="s">
        <v>1508</v>
      </c>
      <c r="J25" s="227">
        <v>257</v>
      </c>
      <c r="K25" s="227">
        <v>72</v>
      </c>
      <c r="L25" s="228" t="s">
        <v>23</v>
      </c>
    </row>
    <row r="26" spans="1:12" ht="12.3">
      <c r="A26" s="218">
        <v>42387</v>
      </c>
      <c r="B26" s="197" t="s">
        <v>1509</v>
      </c>
      <c r="C26" s="197" t="s">
        <v>24</v>
      </c>
      <c r="D26" s="197">
        <v>3.4</v>
      </c>
      <c r="E26" s="197"/>
      <c r="F26" s="197"/>
      <c r="G26" s="184" t="s">
        <v>23</v>
      </c>
      <c r="H26" s="195" t="s">
        <v>23</v>
      </c>
      <c r="I26" s="219">
        <v>1</v>
      </c>
      <c r="J26" s="221">
        <v>1</v>
      </c>
      <c r="K26" s="221">
        <v>0</v>
      </c>
      <c r="L26" s="191" t="s">
        <v>23</v>
      </c>
    </row>
    <row r="27" spans="1:12" ht="12.3">
      <c r="A27" s="218">
        <v>42389</v>
      </c>
      <c r="B27" s="196" t="s">
        <v>1510</v>
      </c>
      <c r="C27" s="196" t="s">
        <v>83</v>
      </c>
      <c r="D27" s="196">
        <v>6.4</v>
      </c>
      <c r="E27" s="197">
        <v>10</v>
      </c>
      <c r="F27" s="197" t="s">
        <v>363</v>
      </c>
      <c r="G27" s="184" t="s">
        <v>23</v>
      </c>
      <c r="H27" s="195">
        <v>9</v>
      </c>
      <c r="I27" s="219" t="s">
        <v>1511</v>
      </c>
      <c r="J27" s="221">
        <v>722</v>
      </c>
      <c r="K27" s="221">
        <v>2</v>
      </c>
      <c r="L27" s="191" t="s">
        <v>23</v>
      </c>
    </row>
    <row r="28" spans="1:12" ht="12.3">
      <c r="A28" s="218">
        <v>42390</v>
      </c>
      <c r="B28" s="197" t="s">
        <v>1512</v>
      </c>
      <c r="C28" s="197" t="s">
        <v>991</v>
      </c>
      <c r="D28" s="197">
        <v>4.9000000000000004</v>
      </c>
      <c r="E28" s="197"/>
      <c r="F28" s="197"/>
      <c r="G28" s="184" t="s">
        <v>23</v>
      </c>
      <c r="H28" s="195">
        <v>1</v>
      </c>
      <c r="I28" s="219">
        <v>1</v>
      </c>
      <c r="J28" s="221">
        <v>2</v>
      </c>
      <c r="K28" s="221">
        <v>0</v>
      </c>
      <c r="L28" s="191" t="s">
        <v>23</v>
      </c>
    </row>
    <row r="29" spans="1:12" ht="12.3">
      <c r="A29" s="218">
        <v>42390</v>
      </c>
      <c r="B29" s="196" t="s">
        <v>1475</v>
      </c>
      <c r="C29" s="196" t="s">
        <v>317</v>
      </c>
      <c r="D29" s="197">
        <v>1.8</v>
      </c>
      <c r="E29" s="197"/>
      <c r="F29" s="197"/>
      <c r="G29" s="184" t="s">
        <v>23</v>
      </c>
      <c r="H29" s="195" t="s">
        <v>23</v>
      </c>
      <c r="I29" s="219">
        <v>2</v>
      </c>
      <c r="J29" s="221">
        <v>400</v>
      </c>
      <c r="K29" s="221">
        <v>0</v>
      </c>
      <c r="L29" s="191" t="s">
        <v>23</v>
      </c>
    </row>
    <row r="30" spans="1:12" ht="12.3">
      <c r="A30" s="218">
        <v>42391</v>
      </c>
      <c r="B30" s="197" t="s">
        <v>1513</v>
      </c>
      <c r="C30" s="197" t="s">
        <v>67</v>
      </c>
      <c r="D30" s="197" t="s">
        <v>1514</v>
      </c>
      <c r="E30" s="197">
        <v>1</v>
      </c>
      <c r="F30" s="197"/>
      <c r="G30" s="184" t="s">
        <v>23</v>
      </c>
      <c r="H30" s="195">
        <v>1</v>
      </c>
      <c r="I30" s="219"/>
      <c r="J30" s="221"/>
      <c r="K30" s="221">
        <v>0</v>
      </c>
      <c r="L30" s="191" t="s">
        <v>23</v>
      </c>
    </row>
    <row r="31" spans="1:12" ht="12.3">
      <c r="A31" s="218">
        <v>42391</v>
      </c>
      <c r="B31" s="197" t="s">
        <v>1515</v>
      </c>
      <c r="C31" s="197" t="s">
        <v>17</v>
      </c>
      <c r="D31" s="197">
        <v>5.4</v>
      </c>
      <c r="E31" s="197">
        <v>10</v>
      </c>
      <c r="F31" s="197"/>
      <c r="G31" s="184" t="s">
        <v>23</v>
      </c>
      <c r="H31" s="195" t="s">
        <v>23</v>
      </c>
      <c r="I31" s="219" t="s">
        <v>1478</v>
      </c>
      <c r="J31" s="221"/>
      <c r="K31" s="221">
        <v>0</v>
      </c>
      <c r="L31" s="191" t="s">
        <v>23</v>
      </c>
    </row>
    <row r="32" spans="1:12" ht="12.3">
      <c r="A32" s="218">
        <v>42391</v>
      </c>
      <c r="B32" s="197" t="s">
        <v>1516</v>
      </c>
      <c r="C32" s="197" t="s">
        <v>1517</v>
      </c>
      <c r="D32" s="197"/>
      <c r="E32" s="197">
        <v>0</v>
      </c>
      <c r="F32" s="197"/>
      <c r="G32" s="184" t="s">
        <v>23</v>
      </c>
      <c r="H32" s="195" t="s">
        <v>23</v>
      </c>
      <c r="I32" s="219" t="s">
        <v>1478</v>
      </c>
      <c r="J32" s="221"/>
      <c r="K32" s="221">
        <v>0</v>
      </c>
      <c r="L32" s="191" t="s">
        <v>23</v>
      </c>
    </row>
    <row r="33" spans="1:12" ht="12.3">
      <c r="A33" s="218">
        <v>42392</v>
      </c>
      <c r="B33" s="197" t="s">
        <v>1518</v>
      </c>
      <c r="C33" s="197" t="s">
        <v>83</v>
      </c>
      <c r="D33" s="234">
        <v>3</v>
      </c>
      <c r="E33" s="197">
        <v>6</v>
      </c>
      <c r="F33" s="197"/>
      <c r="G33" s="184" t="s">
        <v>23</v>
      </c>
      <c r="H33" s="195" t="s">
        <v>23</v>
      </c>
      <c r="I33" s="219" t="s">
        <v>1478</v>
      </c>
      <c r="J33" s="221">
        <v>30</v>
      </c>
      <c r="K33" s="221">
        <v>0</v>
      </c>
      <c r="L33" s="191" t="s">
        <v>23</v>
      </c>
    </row>
    <row r="34" spans="1:12" ht="12.3">
      <c r="A34" s="218">
        <v>42393</v>
      </c>
      <c r="B34" s="196" t="s">
        <v>1519</v>
      </c>
      <c r="C34" s="196" t="s">
        <v>39</v>
      </c>
      <c r="D34" s="196">
        <v>7.1</v>
      </c>
      <c r="E34" s="197">
        <v>123</v>
      </c>
      <c r="F34" s="197" t="s">
        <v>123</v>
      </c>
      <c r="G34" s="184" t="s">
        <v>23</v>
      </c>
      <c r="H34" s="195">
        <v>1</v>
      </c>
      <c r="I34" s="219">
        <v>2</v>
      </c>
      <c r="J34" s="221"/>
      <c r="K34" s="221">
        <v>4</v>
      </c>
      <c r="L34" s="191" t="s">
        <v>23</v>
      </c>
    </row>
    <row r="35" spans="1:12" ht="12.3">
      <c r="A35" s="218">
        <v>42393</v>
      </c>
      <c r="B35" s="196" t="s">
        <v>1520</v>
      </c>
      <c r="C35" s="196" t="s">
        <v>1444</v>
      </c>
      <c r="D35" s="197">
        <v>4.2</v>
      </c>
      <c r="E35" s="197"/>
      <c r="F35" s="197"/>
      <c r="G35" s="184" t="s">
        <v>23</v>
      </c>
      <c r="H35" s="195">
        <v>150</v>
      </c>
      <c r="I35" s="219" t="s">
        <v>1478</v>
      </c>
      <c r="J35" s="221"/>
      <c r="K35" s="221">
        <v>0</v>
      </c>
      <c r="L35" s="191" t="s">
        <v>23</v>
      </c>
    </row>
    <row r="36" spans="1:12" ht="12.3">
      <c r="A36" s="239">
        <v>42394</v>
      </c>
      <c r="B36" s="240" t="s">
        <v>1512</v>
      </c>
      <c r="C36" s="240" t="s">
        <v>991</v>
      </c>
      <c r="D36" s="240">
        <v>6.3</v>
      </c>
      <c r="E36" s="241"/>
      <c r="F36" s="241" t="s">
        <v>35</v>
      </c>
      <c r="G36" s="222" t="s">
        <v>23</v>
      </c>
      <c r="H36" s="195">
        <v>41</v>
      </c>
      <c r="I36" s="219">
        <v>2</v>
      </c>
      <c r="J36" s="242"/>
      <c r="K36" s="242">
        <v>0</v>
      </c>
      <c r="L36" s="243" t="s">
        <v>23</v>
      </c>
    </row>
    <row r="37" spans="1:12" ht="12.3">
      <c r="A37" s="239"/>
      <c r="B37" s="240"/>
      <c r="C37" s="240" t="s">
        <v>652</v>
      </c>
      <c r="D37" s="240"/>
      <c r="E37" s="241"/>
      <c r="F37" s="241"/>
      <c r="G37" s="222"/>
      <c r="H37" s="195"/>
      <c r="I37" s="219"/>
      <c r="J37" s="242"/>
      <c r="K37" s="242"/>
      <c r="L37" s="243"/>
    </row>
    <row r="38" spans="1:12" ht="12.3">
      <c r="A38" s="218">
        <v>42397</v>
      </c>
      <c r="B38" s="197" t="s">
        <v>1521</v>
      </c>
      <c r="C38" s="197" t="s">
        <v>24</v>
      </c>
      <c r="D38" s="197">
        <v>3.8</v>
      </c>
      <c r="E38" s="197"/>
      <c r="F38" s="197"/>
      <c r="G38" s="184" t="s">
        <v>23</v>
      </c>
      <c r="H38" s="195" t="s">
        <v>23</v>
      </c>
      <c r="I38" s="219" t="s">
        <v>1478</v>
      </c>
      <c r="J38" s="221"/>
      <c r="K38" s="221">
        <v>0</v>
      </c>
      <c r="L38" s="191" t="s">
        <v>23</v>
      </c>
    </row>
    <row r="39" spans="1:12" ht="12.3">
      <c r="A39" s="218">
        <v>42400</v>
      </c>
      <c r="B39" s="197" t="s">
        <v>1522</v>
      </c>
      <c r="C39" s="197" t="s">
        <v>915</v>
      </c>
      <c r="D39" s="197">
        <v>3.6</v>
      </c>
      <c r="E39" s="197"/>
      <c r="F39" s="197"/>
      <c r="G39" s="184" t="s">
        <v>23</v>
      </c>
      <c r="H39" s="195" t="s">
        <v>23</v>
      </c>
      <c r="I39" s="219">
        <v>1</v>
      </c>
      <c r="J39" s="221"/>
      <c r="K39" s="221">
        <v>0</v>
      </c>
      <c r="L39" s="191" t="s">
        <v>23</v>
      </c>
    </row>
    <row r="40" spans="1:12" ht="12.3">
      <c r="A40" s="218">
        <v>42401</v>
      </c>
      <c r="B40" s="197" t="s">
        <v>1523</v>
      </c>
      <c r="C40" s="197" t="s">
        <v>83</v>
      </c>
      <c r="D40" s="197">
        <v>3.2</v>
      </c>
      <c r="E40" s="197">
        <v>8</v>
      </c>
      <c r="F40" s="197" t="s">
        <v>684</v>
      </c>
      <c r="G40" s="184" t="s">
        <v>23</v>
      </c>
      <c r="H40" s="195" t="s">
        <v>23</v>
      </c>
      <c r="I40" s="219">
        <v>1</v>
      </c>
      <c r="J40" s="221">
        <v>1</v>
      </c>
      <c r="K40" s="221">
        <v>0</v>
      </c>
      <c r="L40" s="191" t="s">
        <v>23</v>
      </c>
    </row>
    <row r="41" spans="1:12" ht="12.3">
      <c r="A41" s="224">
        <v>42405</v>
      </c>
      <c r="B41" s="225" t="s">
        <v>1524</v>
      </c>
      <c r="C41" s="225" t="s">
        <v>1001</v>
      </c>
      <c r="D41" s="225">
        <v>5.5</v>
      </c>
      <c r="E41" s="225"/>
      <c r="F41" s="225" t="s">
        <v>35</v>
      </c>
      <c r="G41" s="184">
        <v>1</v>
      </c>
      <c r="H41" s="237">
        <v>66</v>
      </c>
      <c r="I41" s="238"/>
      <c r="J41" s="227"/>
      <c r="K41" s="227"/>
      <c r="L41" s="228" t="s">
        <v>23</v>
      </c>
    </row>
    <row r="42" spans="1:12" ht="12.3">
      <c r="A42" s="224">
        <v>42405</v>
      </c>
      <c r="B42" s="225" t="s">
        <v>1525</v>
      </c>
      <c r="C42" s="225" t="s">
        <v>570</v>
      </c>
      <c r="D42" s="225">
        <v>6.4</v>
      </c>
      <c r="E42" s="225">
        <v>17</v>
      </c>
      <c r="F42" s="225" t="s">
        <v>363</v>
      </c>
      <c r="G42" s="184">
        <v>117</v>
      </c>
      <c r="H42" s="237">
        <v>559</v>
      </c>
      <c r="I42" s="238">
        <v>3</v>
      </c>
      <c r="J42" s="227">
        <v>594</v>
      </c>
      <c r="K42" s="227">
        <v>12</v>
      </c>
      <c r="L42" s="228" t="s">
        <v>23</v>
      </c>
    </row>
    <row r="43" spans="1:12" ht="12.3">
      <c r="A43" s="218">
        <v>42406</v>
      </c>
      <c r="B43" s="197" t="s">
        <v>1521</v>
      </c>
      <c r="C43" s="197" t="s">
        <v>24</v>
      </c>
      <c r="D43" s="197"/>
      <c r="E43" s="197"/>
      <c r="F43" s="197"/>
      <c r="G43" s="184" t="s">
        <v>23</v>
      </c>
      <c r="H43" s="195" t="s">
        <v>23</v>
      </c>
      <c r="I43" s="219">
        <v>1</v>
      </c>
      <c r="J43" s="221"/>
      <c r="K43" s="221">
        <v>0</v>
      </c>
      <c r="L43" s="191" t="s">
        <v>23</v>
      </c>
    </row>
    <row r="44" spans="1:12" ht="14.25" customHeight="1">
      <c r="A44" s="218">
        <v>42407</v>
      </c>
      <c r="B44" s="197" t="s">
        <v>1526</v>
      </c>
      <c r="C44" s="197" t="s">
        <v>83</v>
      </c>
      <c r="D44" s="197">
        <v>4.5</v>
      </c>
      <c r="E44" s="197">
        <v>12</v>
      </c>
      <c r="F44" s="197"/>
      <c r="G44" s="184" t="s">
        <v>23</v>
      </c>
      <c r="H44" s="195" t="s">
        <v>23</v>
      </c>
      <c r="I44" s="219">
        <v>2</v>
      </c>
      <c r="J44" s="221">
        <v>2391</v>
      </c>
      <c r="K44" s="221">
        <v>0</v>
      </c>
      <c r="L44" s="191" t="s">
        <v>23</v>
      </c>
    </row>
    <row r="45" spans="1:12" ht="12.3">
      <c r="A45" s="218">
        <v>42408</v>
      </c>
      <c r="B45" s="197" t="s">
        <v>1527</v>
      </c>
      <c r="C45" s="197" t="s">
        <v>199</v>
      </c>
      <c r="D45" s="197">
        <v>4.2</v>
      </c>
      <c r="E45" s="197">
        <v>4</v>
      </c>
      <c r="F45" s="197" t="s">
        <v>134</v>
      </c>
      <c r="G45" s="184" t="s">
        <v>23</v>
      </c>
      <c r="H45" s="195" t="s">
        <v>23</v>
      </c>
      <c r="I45" s="219">
        <v>1</v>
      </c>
      <c r="J45" s="221">
        <v>5</v>
      </c>
      <c r="K45" s="221">
        <v>0</v>
      </c>
      <c r="L45" s="191" t="s">
        <v>23</v>
      </c>
    </row>
    <row r="46" spans="1:12" ht="12.3">
      <c r="A46" s="218">
        <v>42408</v>
      </c>
      <c r="B46" s="197" t="s">
        <v>1528</v>
      </c>
      <c r="C46" s="197" t="s">
        <v>235</v>
      </c>
      <c r="D46" s="197">
        <v>3.3</v>
      </c>
      <c r="E46" s="197">
        <v>1</v>
      </c>
      <c r="F46" s="197"/>
      <c r="G46" s="184" t="s">
        <v>23</v>
      </c>
      <c r="H46" s="195" t="s">
        <v>23</v>
      </c>
      <c r="I46" s="219">
        <v>1</v>
      </c>
      <c r="J46" s="221">
        <v>1</v>
      </c>
      <c r="K46" s="221">
        <v>0</v>
      </c>
      <c r="L46" s="191" t="s">
        <v>23</v>
      </c>
    </row>
    <row r="47" spans="1:12" ht="12.3">
      <c r="A47" s="218">
        <v>42408</v>
      </c>
      <c r="B47" s="196" t="s">
        <v>1529</v>
      </c>
      <c r="C47" s="196" t="s">
        <v>33</v>
      </c>
      <c r="D47" s="197">
        <v>4.5999999999999996</v>
      </c>
      <c r="E47" s="197">
        <v>20</v>
      </c>
      <c r="F47" s="197"/>
      <c r="G47" s="184" t="s">
        <v>23</v>
      </c>
      <c r="H47" s="195" t="s">
        <v>23</v>
      </c>
      <c r="I47" s="219" t="s">
        <v>1511</v>
      </c>
      <c r="J47" s="221">
        <v>70</v>
      </c>
      <c r="K47" s="221">
        <v>10</v>
      </c>
      <c r="L47" s="191" t="s">
        <v>23</v>
      </c>
    </row>
    <row r="48" spans="1:12" ht="12.3">
      <c r="A48" s="218">
        <v>42409</v>
      </c>
      <c r="B48" s="197" t="s">
        <v>1530</v>
      </c>
      <c r="C48" s="197" t="s">
        <v>636</v>
      </c>
      <c r="D48" s="196">
        <v>5.7</v>
      </c>
      <c r="E48" s="197">
        <v>48</v>
      </c>
      <c r="F48" s="197" t="s">
        <v>134</v>
      </c>
      <c r="G48" s="184" t="s">
        <v>23</v>
      </c>
      <c r="H48" s="195" t="s">
        <v>23</v>
      </c>
      <c r="I48" s="219">
        <v>1</v>
      </c>
      <c r="J48" s="221">
        <v>1</v>
      </c>
      <c r="K48" s="221">
        <v>0</v>
      </c>
      <c r="L48" s="191" t="s">
        <v>23</v>
      </c>
    </row>
    <row r="49" spans="1:12" ht="12.3">
      <c r="A49" s="218">
        <v>42410</v>
      </c>
      <c r="B49" s="196" t="s">
        <v>1531</v>
      </c>
      <c r="C49" s="196" t="s">
        <v>118</v>
      </c>
      <c r="D49" s="197">
        <v>4.7</v>
      </c>
      <c r="E49" s="197"/>
      <c r="F49" s="197"/>
      <c r="G49" s="184" t="s">
        <v>23</v>
      </c>
      <c r="H49" s="195"/>
      <c r="I49" s="219" t="s">
        <v>1478</v>
      </c>
      <c r="J49" s="221"/>
      <c r="K49" s="221">
        <v>0</v>
      </c>
      <c r="L49" s="191" t="s">
        <v>23</v>
      </c>
    </row>
    <row r="50" spans="1:12" ht="12.3">
      <c r="A50" s="218">
        <v>42411</v>
      </c>
      <c r="B50" s="196" t="s">
        <v>1481</v>
      </c>
      <c r="C50" s="196" t="s">
        <v>83</v>
      </c>
      <c r="D50" s="234">
        <v>5</v>
      </c>
      <c r="E50" s="197"/>
      <c r="F50" s="197"/>
      <c r="G50" s="184" t="s">
        <v>23</v>
      </c>
      <c r="H50" s="195" t="s">
        <v>23</v>
      </c>
      <c r="I50" s="219" t="s">
        <v>1511</v>
      </c>
      <c r="J50" s="221">
        <v>496</v>
      </c>
      <c r="K50" s="221">
        <v>0</v>
      </c>
      <c r="L50" s="191" t="s">
        <v>23</v>
      </c>
    </row>
    <row r="51" spans="1:12" ht="12.3">
      <c r="A51" s="218">
        <v>42412</v>
      </c>
      <c r="B51" s="196" t="s">
        <v>1532</v>
      </c>
      <c r="C51" s="196" t="s">
        <v>44</v>
      </c>
      <c r="D51" s="196">
        <v>6.6</v>
      </c>
      <c r="E51" s="197">
        <v>30</v>
      </c>
      <c r="F51" s="197" t="s">
        <v>123</v>
      </c>
      <c r="G51" s="184" t="s">
        <v>23</v>
      </c>
      <c r="H51" s="195"/>
      <c r="I51" s="219" t="s">
        <v>1511</v>
      </c>
      <c r="J51" s="221"/>
      <c r="K51" s="221">
        <v>0</v>
      </c>
      <c r="L51" s="191" t="s">
        <v>23</v>
      </c>
    </row>
    <row r="52" spans="1:12" ht="12.3">
      <c r="A52" s="218">
        <v>42413</v>
      </c>
      <c r="B52" s="197" t="s">
        <v>1471</v>
      </c>
      <c r="C52" s="197" t="s">
        <v>39</v>
      </c>
      <c r="D52" s="197" t="s">
        <v>1485</v>
      </c>
      <c r="E52" s="197">
        <v>2</v>
      </c>
      <c r="F52" s="197" t="s">
        <v>365</v>
      </c>
      <c r="G52" s="184" t="s">
        <v>23</v>
      </c>
      <c r="H52" s="195" t="s">
        <v>23</v>
      </c>
      <c r="I52" s="219">
        <v>2</v>
      </c>
      <c r="J52" s="221"/>
      <c r="K52" s="221"/>
      <c r="L52" s="191" t="s">
        <v>23</v>
      </c>
    </row>
    <row r="53" spans="1:12" ht="12.3">
      <c r="A53" s="218">
        <v>42414</v>
      </c>
      <c r="B53" s="196" t="s">
        <v>1533</v>
      </c>
      <c r="C53" s="196" t="s">
        <v>636</v>
      </c>
      <c r="D53" s="196">
        <v>5.8</v>
      </c>
      <c r="E53" s="197">
        <v>4</v>
      </c>
      <c r="F53" s="197" t="s">
        <v>363</v>
      </c>
      <c r="G53" s="184" t="s">
        <v>23</v>
      </c>
      <c r="H53" s="195"/>
      <c r="I53" s="219">
        <v>2</v>
      </c>
      <c r="J53" s="221">
        <v>9579</v>
      </c>
      <c r="K53" s="221">
        <v>0</v>
      </c>
      <c r="L53" s="191" t="s">
        <v>23</v>
      </c>
    </row>
    <row r="54" spans="1:12" ht="12.3">
      <c r="A54" s="218">
        <v>42415</v>
      </c>
      <c r="B54" s="196" t="s">
        <v>1534</v>
      </c>
      <c r="C54" s="196" t="s">
        <v>156</v>
      </c>
      <c r="D54" s="197">
        <v>5.2</v>
      </c>
      <c r="E54" s="197">
        <v>5</v>
      </c>
      <c r="F54" s="197"/>
      <c r="G54" s="184" t="s">
        <v>23</v>
      </c>
      <c r="H54" s="195" t="s">
        <v>23</v>
      </c>
      <c r="I54" s="219" t="s">
        <v>1511</v>
      </c>
      <c r="J54" s="221">
        <v>83</v>
      </c>
      <c r="K54" s="221">
        <v>0</v>
      </c>
      <c r="L54" s="191" t="s">
        <v>23</v>
      </c>
    </row>
    <row r="55" spans="1:12" ht="12.3">
      <c r="A55" s="218">
        <v>42416</v>
      </c>
      <c r="B55" s="244" t="str">
        <f>HYPERLINK("http://earthquake-report.com/2016/02/16/minor-earthquake-big-bear-city-california-on-february-16-2016/","USA, California")</f>
        <v>USA, California</v>
      </c>
      <c r="C55" s="197" t="s">
        <v>39</v>
      </c>
      <c r="D55" s="197">
        <v>3.9</v>
      </c>
      <c r="E55" s="197">
        <v>3</v>
      </c>
      <c r="F55" s="197" t="s">
        <v>134</v>
      </c>
      <c r="G55" s="184" t="s">
        <v>23</v>
      </c>
      <c r="H55" s="195" t="s">
        <v>23</v>
      </c>
      <c r="I55" s="219">
        <v>1</v>
      </c>
      <c r="J55" s="221">
        <v>1</v>
      </c>
      <c r="K55" s="221">
        <v>0</v>
      </c>
      <c r="L55" s="191" t="s">
        <v>23</v>
      </c>
    </row>
    <row r="56" spans="1:12" ht="12.3">
      <c r="A56" s="218">
        <v>42417</v>
      </c>
      <c r="B56" s="197" t="s">
        <v>1521</v>
      </c>
      <c r="C56" s="197" t="s">
        <v>24</v>
      </c>
      <c r="D56" s="197"/>
      <c r="E56" s="197"/>
      <c r="F56" s="197"/>
      <c r="G56" s="184" t="s">
        <v>23</v>
      </c>
      <c r="H56" s="195" t="s">
        <v>23</v>
      </c>
      <c r="I56" s="219">
        <v>1</v>
      </c>
      <c r="J56" s="221">
        <v>1</v>
      </c>
      <c r="K56" s="221">
        <v>0</v>
      </c>
      <c r="L56" s="191" t="s">
        <v>23</v>
      </c>
    </row>
    <row r="57" spans="1:12" ht="12.3">
      <c r="A57" s="218">
        <v>42420</v>
      </c>
      <c r="B57" s="196" t="s">
        <v>1535</v>
      </c>
      <c r="C57" s="196" t="s">
        <v>72</v>
      </c>
      <c r="D57" s="197">
        <v>5.2</v>
      </c>
      <c r="E57" s="197">
        <v>8</v>
      </c>
      <c r="F57" s="197"/>
      <c r="G57" s="184" t="s">
        <v>23</v>
      </c>
      <c r="H57" s="195">
        <v>3</v>
      </c>
      <c r="I57" s="219" t="s">
        <v>1508</v>
      </c>
      <c r="J57" s="221">
        <v>105</v>
      </c>
      <c r="K57" s="221">
        <v>28</v>
      </c>
      <c r="L57" s="191" t="s">
        <v>23</v>
      </c>
    </row>
    <row r="58" spans="1:12" ht="12.3">
      <c r="A58" s="218">
        <v>42421</v>
      </c>
      <c r="B58" s="196" t="s">
        <v>1536</v>
      </c>
      <c r="C58" s="196" t="s">
        <v>1001</v>
      </c>
      <c r="D58" s="196">
        <v>5.5</v>
      </c>
      <c r="E58" s="197">
        <v>10</v>
      </c>
      <c r="F58" s="197"/>
      <c r="G58" s="184" t="s">
        <v>23</v>
      </c>
      <c r="H58" s="195">
        <v>1</v>
      </c>
      <c r="I58" s="219">
        <v>2</v>
      </c>
      <c r="J58" s="221"/>
      <c r="K58" s="221">
        <v>0</v>
      </c>
      <c r="L58" s="191" t="s">
        <v>23</v>
      </c>
    </row>
    <row r="59" spans="1:12" ht="12.3">
      <c r="A59" s="218">
        <v>42423</v>
      </c>
      <c r="B59" s="197" t="s">
        <v>1537</v>
      </c>
      <c r="C59" s="197" t="s">
        <v>317</v>
      </c>
      <c r="D59" s="197">
        <v>3.8</v>
      </c>
      <c r="E59" s="197"/>
      <c r="F59" s="197"/>
      <c r="G59" s="184" t="s">
        <v>23</v>
      </c>
      <c r="H59" s="195" t="s">
        <v>23</v>
      </c>
      <c r="I59" s="219" t="s">
        <v>1478</v>
      </c>
      <c r="J59" s="221"/>
      <c r="K59" s="221">
        <v>0</v>
      </c>
      <c r="L59" s="191" t="s">
        <v>23</v>
      </c>
    </row>
    <row r="60" spans="1:12" ht="12.3">
      <c r="A60" s="218">
        <v>42423</v>
      </c>
      <c r="B60" s="196" t="s">
        <v>1538</v>
      </c>
      <c r="C60" s="196" t="s">
        <v>44</v>
      </c>
      <c r="D60" s="197">
        <v>5.0999999999999996</v>
      </c>
      <c r="E60" s="197">
        <v>10</v>
      </c>
      <c r="F60" s="197" t="s">
        <v>35</v>
      </c>
      <c r="G60" s="184" t="s">
        <v>23</v>
      </c>
      <c r="H60" s="195">
        <v>4</v>
      </c>
      <c r="I60" s="219" t="s">
        <v>1511</v>
      </c>
      <c r="J60" s="221">
        <v>182</v>
      </c>
      <c r="K60" s="221">
        <v>0</v>
      </c>
      <c r="L60" s="191" t="s">
        <v>23</v>
      </c>
    </row>
    <row r="61" spans="1:12" ht="12.3">
      <c r="A61" s="218">
        <v>42424</v>
      </c>
      <c r="B61" s="197" t="s">
        <v>1539</v>
      </c>
      <c r="C61" s="197" t="s">
        <v>226</v>
      </c>
      <c r="D61" s="197">
        <v>4.4000000000000004</v>
      </c>
      <c r="E61" s="197"/>
      <c r="F61" s="197"/>
      <c r="G61" s="184" t="s">
        <v>23</v>
      </c>
      <c r="H61" s="195" t="s">
        <v>23</v>
      </c>
      <c r="I61" s="219">
        <v>1</v>
      </c>
      <c r="J61" s="221">
        <v>1</v>
      </c>
      <c r="K61" s="221">
        <v>0</v>
      </c>
      <c r="L61" s="191" t="s">
        <v>23</v>
      </c>
    </row>
    <row r="62" spans="1:12" ht="12.3">
      <c r="A62" s="218">
        <v>42425</v>
      </c>
      <c r="B62" s="197" t="s">
        <v>1540</v>
      </c>
      <c r="C62" s="197" t="s">
        <v>615</v>
      </c>
      <c r="D62" s="197" t="s">
        <v>1541</v>
      </c>
      <c r="E62" s="197">
        <v>3</v>
      </c>
      <c r="F62" s="197"/>
      <c r="G62" s="184" t="s">
        <v>23</v>
      </c>
      <c r="H62" s="195" t="s">
        <v>23</v>
      </c>
      <c r="I62" s="219" t="s">
        <v>1478</v>
      </c>
      <c r="J62" s="221">
        <v>186</v>
      </c>
      <c r="K62" s="221">
        <v>0</v>
      </c>
      <c r="L62" s="191" t="s">
        <v>23</v>
      </c>
    </row>
    <row r="63" spans="1:12" ht="12.3">
      <c r="A63" s="218">
        <v>42431</v>
      </c>
      <c r="B63" s="197" t="s">
        <v>1542</v>
      </c>
      <c r="C63" s="197"/>
      <c r="D63" s="196">
        <v>7.9</v>
      </c>
      <c r="E63" s="197"/>
      <c r="F63" s="197" t="s">
        <v>684</v>
      </c>
      <c r="G63" s="184" t="s">
        <v>23</v>
      </c>
      <c r="H63" s="195" t="s">
        <v>23</v>
      </c>
      <c r="I63" s="219" t="s">
        <v>23</v>
      </c>
      <c r="J63" s="221">
        <v>0</v>
      </c>
      <c r="K63" s="221">
        <v>0</v>
      </c>
      <c r="L63" s="191" t="s">
        <v>1325</v>
      </c>
    </row>
    <row r="64" spans="1:12" ht="12.3">
      <c r="A64" s="218">
        <v>42431</v>
      </c>
      <c r="B64" s="197" t="s">
        <v>1543</v>
      </c>
      <c r="C64" s="197" t="s">
        <v>512</v>
      </c>
      <c r="D64" s="197">
        <v>3.8</v>
      </c>
      <c r="E64" s="197"/>
      <c r="F64" s="197"/>
      <c r="G64" s="184" t="s">
        <v>23</v>
      </c>
      <c r="H64" s="195" t="s">
        <v>23</v>
      </c>
      <c r="I64" s="219">
        <v>1</v>
      </c>
      <c r="J64" s="221"/>
      <c r="K64" s="221">
        <v>0</v>
      </c>
      <c r="L64" s="191" t="s">
        <v>23</v>
      </c>
    </row>
    <row r="65" spans="1:12" ht="12.3">
      <c r="A65" s="218">
        <v>42434</v>
      </c>
      <c r="B65" s="197" t="s">
        <v>1526</v>
      </c>
      <c r="C65" s="197" t="s">
        <v>83</v>
      </c>
      <c r="D65" s="197">
        <v>4.5999999999999996</v>
      </c>
      <c r="E65" s="197">
        <v>6</v>
      </c>
      <c r="F65" s="197"/>
      <c r="G65" s="184" t="s">
        <v>23</v>
      </c>
      <c r="H65" s="195" t="s">
        <v>23</v>
      </c>
      <c r="I65" s="219">
        <v>2</v>
      </c>
      <c r="J65" s="221">
        <v>167</v>
      </c>
      <c r="K65" s="221">
        <v>0</v>
      </c>
      <c r="L65" s="191" t="s">
        <v>23</v>
      </c>
    </row>
    <row r="66" spans="1:12" ht="12.3">
      <c r="A66" s="218">
        <v>42435</v>
      </c>
      <c r="B66" s="197" t="s">
        <v>1544</v>
      </c>
      <c r="C66" s="197" t="s">
        <v>317</v>
      </c>
      <c r="D66" s="197" t="s">
        <v>1545</v>
      </c>
      <c r="E66" s="197"/>
      <c r="F66" s="197"/>
      <c r="G66" s="184" t="s">
        <v>23</v>
      </c>
      <c r="H66" s="195" t="s">
        <v>23</v>
      </c>
      <c r="I66" s="219">
        <v>1</v>
      </c>
      <c r="J66" s="221"/>
      <c r="K66" s="221">
        <v>0</v>
      </c>
      <c r="L66" s="191" t="s">
        <v>23</v>
      </c>
    </row>
    <row r="67" spans="1:12" ht="12.3">
      <c r="A67" s="218">
        <v>42436</v>
      </c>
      <c r="B67" s="197" t="s">
        <v>1546</v>
      </c>
      <c r="C67" s="197" t="s">
        <v>83</v>
      </c>
      <c r="D67" s="197">
        <v>2.1</v>
      </c>
      <c r="E67" s="197">
        <v>5</v>
      </c>
      <c r="F67" s="197"/>
      <c r="G67" s="184" t="s">
        <v>23</v>
      </c>
      <c r="H67" s="195" t="s">
        <v>23</v>
      </c>
      <c r="I67" s="219">
        <v>1</v>
      </c>
      <c r="J67" s="221">
        <v>2</v>
      </c>
      <c r="K67" s="221">
        <v>0</v>
      </c>
      <c r="L67" s="191" t="s">
        <v>23</v>
      </c>
    </row>
    <row r="68" spans="1:12" ht="12.3">
      <c r="A68" s="218">
        <v>42436</v>
      </c>
      <c r="B68" s="197" t="s">
        <v>1526</v>
      </c>
      <c r="C68" s="197" t="s">
        <v>83</v>
      </c>
      <c r="D68" s="197">
        <v>4.3</v>
      </c>
      <c r="E68" s="197">
        <v>7</v>
      </c>
      <c r="F68" s="197"/>
      <c r="G68" s="184" t="s">
        <v>23</v>
      </c>
      <c r="H68" s="195" t="s">
        <v>23</v>
      </c>
      <c r="I68" s="219">
        <v>2</v>
      </c>
      <c r="J68" s="221">
        <v>285</v>
      </c>
      <c r="K68" s="221">
        <v>0</v>
      </c>
      <c r="L68" s="191" t="s">
        <v>23</v>
      </c>
    </row>
    <row r="69" spans="1:12" ht="12.3">
      <c r="A69" s="218">
        <v>42439</v>
      </c>
      <c r="B69" s="196" t="s">
        <v>1477</v>
      </c>
      <c r="C69" s="196" t="s">
        <v>83</v>
      </c>
      <c r="D69" s="197">
        <v>4.2</v>
      </c>
      <c r="E69" s="197"/>
      <c r="F69" s="197"/>
      <c r="G69" s="184" t="s">
        <v>23</v>
      </c>
      <c r="H69" s="195" t="s">
        <v>23</v>
      </c>
      <c r="I69" s="219" t="s">
        <v>1511</v>
      </c>
      <c r="J69" s="221">
        <v>669</v>
      </c>
      <c r="K69" s="221">
        <v>0</v>
      </c>
      <c r="L69" s="191" t="s">
        <v>23</v>
      </c>
    </row>
    <row r="70" spans="1:12" ht="12.3">
      <c r="A70" s="218">
        <v>42441</v>
      </c>
      <c r="B70" s="196" t="s">
        <v>1547</v>
      </c>
      <c r="C70" s="196" t="s">
        <v>83</v>
      </c>
      <c r="D70" s="197">
        <v>4.4000000000000004</v>
      </c>
      <c r="E70" s="197">
        <v>5</v>
      </c>
      <c r="F70" s="197"/>
      <c r="G70" s="184" t="s">
        <v>23</v>
      </c>
      <c r="H70" s="195">
        <v>7</v>
      </c>
      <c r="I70" s="219">
        <v>3</v>
      </c>
      <c r="J70" s="221"/>
      <c r="K70" s="221"/>
      <c r="L70" s="191" t="s">
        <v>23</v>
      </c>
    </row>
    <row r="71" spans="1:12" ht="12.3">
      <c r="A71" s="218">
        <v>42441</v>
      </c>
      <c r="B71" s="197" t="s">
        <v>1548</v>
      </c>
      <c r="C71" s="197" t="s">
        <v>991</v>
      </c>
      <c r="D71" s="197">
        <v>4.8</v>
      </c>
      <c r="E71" s="197"/>
      <c r="F71" s="197"/>
      <c r="G71" s="184" t="s">
        <v>23</v>
      </c>
      <c r="H71" s="195" t="s">
        <v>23</v>
      </c>
      <c r="I71" s="219">
        <v>1</v>
      </c>
      <c r="J71" s="221"/>
      <c r="K71" s="221">
        <v>0</v>
      </c>
      <c r="L71" s="191" t="s">
        <v>23</v>
      </c>
    </row>
    <row r="72" spans="1:12" ht="12.3">
      <c r="A72" s="218">
        <v>42443</v>
      </c>
      <c r="B72" s="197" t="s">
        <v>1549</v>
      </c>
      <c r="C72" s="197" t="s">
        <v>24</v>
      </c>
      <c r="D72" s="197"/>
      <c r="E72" s="197"/>
      <c r="F72" s="197"/>
      <c r="G72" s="184" t="s">
        <v>23</v>
      </c>
      <c r="H72" s="195" t="s">
        <v>23</v>
      </c>
      <c r="I72" s="219">
        <v>1</v>
      </c>
      <c r="J72" s="221">
        <v>2</v>
      </c>
      <c r="K72" s="221">
        <v>0</v>
      </c>
      <c r="L72" s="191" t="s">
        <v>23</v>
      </c>
    </row>
    <row r="73" spans="1:12" ht="12.3">
      <c r="A73" s="218">
        <v>42444</v>
      </c>
      <c r="B73" s="197" t="s">
        <v>1548</v>
      </c>
      <c r="C73" s="197" t="s">
        <v>991</v>
      </c>
      <c r="D73" s="197">
        <v>5.2</v>
      </c>
      <c r="E73" s="197"/>
      <c r="F73" s="197"/>
      <c r="G73" s="184" t="s">
        <v>23</v>
      </c>
      <c r="H73" s="195" t="s">
        <v>23</v>
      </c>
      <c r="I73" s="219" t="s">
        <v>1478</v>
      </c>
      <c r="J73" s="221"/>
      <c r="K73" s="221">
        <v>0</v>
      </c>
      <c r="L73" s="191" t="s">
        <v>23</v>
      </c>
    </row>
    <row r="74" spans="1:12" ht="12.3">
      <c r="A74" s="218">
        <v>42444</v>
      </c>
      <c r="B74" s="197" t="s">
        <v>1550</v>
      </c>
      <c r="C74" s="197" t="s">
        <v>29</v>
      </c>
      <c r="D74" s="197">
        <v>4.0999999999999996</v>
      </c>
      <c r="E74" s="197">
        <v>7</v>
      </c>
      <c r="F74" s="197"/>
      <c r="G74" s="184" t="s">
        <v>23</v>
      </c>
      <c r="H74" s="195" t="s">
        <v>23</v>
      </c>
      <c r="I74" s="219">
        <v>1</v>
      </c>
      <c r="J74" s="221">
        <v>10</v>
      </c>
      <c r="K74" s="221">
        <v>0</v>
      </c>
      <c r="L74" s="191" t="s">
        <v>23</v>
      </c>
    </row>
    <row r="75" spans="1:12" ht="12.3">
      <c r="A75" s="218">
        <v>42445</v>
      </c>
      <c r="B75" s="196" t="s">
        <v>1548</v>
      </c>
      <c r="C75" s="196" t="s">
        <v>991</v>
      </c>
      <c r="D75" s="197">
        <v>4.5</v>
      </c>
      <c r="E75" s="197"/>
      <c r="F75" s="197"/>
      <c r="G75" s="184" t="s">
        <v>23</v>
      </c>
      <c r="H75" s="195" t="s">
        <v>23</v>
      </c>
      <c r="I75" s="219">
        <v>3</v>
      </c>
      <c r="J75" s="221"/>
      <c r="K75" s="221">
        <v>2</v>
      </c>
      <c r="L75" s="191" t="s">
        <v>23</v>
      </c>
    </row>
    <row r="76" spans="1:12" ht="12.3">
      <c r="A76" s="224">
        <v>42446</v>
      </c>
      <c r="B76" s="225" t="s">
        <v>1551</v>
      </c>
      <c r="C76" s="225" t="s">
        <v>24</v>
      </c>
      <c r="D76" s="225">
        <v>4.5</v>
      </c>
      <c r="E76" s="225"/>
      <c r="F76" s="225"/>
      <c r="G76" s="184">
        <v>1</v>
      </c>
      <c r="H76" s="237">
        <v>1</v>
      </c>
      <c r="I76" s="238">
        <v>1</v>
      </c>
      <c r="J76" s="227">
        <v>1</v>
      </c>
      <c r="K76" s="227">
        <v>0</v>
      </c>
      <c r="L76" s="228" t="s">
        <v>23</v>
      </c>
    </row>
    <row r="77" spans="1:12" ht="12.3">
      <c r="A77" s="218">
        <v>42453</v>
      </c>
      <c r="B77" s="197" t="s">
        <v>1552</v>
      </c>
      <c r="C77" s="197" t="s">
        <v>17</v>
      </c>
      <c r="D77" s="197">
        <v>4.4000000000000004</v>
      </c>
      <c r="E77" s="197">
        <v>7</v>
      </c>
      <c r="F77" s="197"/>
      <c r="G77" s="184" t="s">
        <v>23</v>
      </c>
      <c r="H77" s="195" t="s">
        <v>23</v>
      </c>
      <c r="I77" s="219" t="s">
        <v>1478</v>
      </c>
      <c r="J77" s="221"/>
      <c r="K77" s="221">
        <v>0</v>
      </c>
      <c r="L77" s="191" t="s">
        <v>23</v>
      </c>
    </row>
    <row r="78" spans="1:12" ht="12.3">
      <c r="A78" s="218">
        <v>42456</v>
      </c>
      <c r="B78" s="196" t="s">
        <v>1553</v>
      </c>
      <c r="C78" s="196" t="s">
        <v>83</v>
      </c>
      <c r="D78" s="197" t="s">
        <v>1554</v>
      </c>
      <c r="E78" s="197">
        <v>0</v>
      </c>
      <c r="F78" s="197"/>
      <c r="G78" s="184" t="s">
        <v>23</v>
      </c>
      <c r="H78" s="195" t="s">
        <v>23</v>
      </c>
      <c r="I78" s="219" t="s">
        <v>1511</v>
      </c>
      <c r="J78" s="221">
        <v>90</v>
      </c>
      <c r="K78" s="221"/>
      <c r="L78" s="191" t="s">
        <v>23</v>
      </c>
    </row>
    <row r="79" spans="1:12" ht="12.3">
      <c r="A79" s="218">
        <v>42458</v>
      </c>
      <c r="B79" s="196" t="s">
        <v>1555</v>
      </c>
      <c r="C79" s="196" t="s">
        <v>17</v>
      </c>
      <c r="D79" s="197">
        <v>4.0999999999999996</v>
      </c>
      <c r="E79" s="197"/>
      <c r="F79" s="197"/>
      <c r="G79" s="184" t="s">
        <v>23</v>
      </c>
      <c r="H79" s="195" t="s">
        <v>23</v>
      </c>
      <c r="I79" s="219">
        <v>2</v>
      </c>
      <c r="J79" s="221">
        <v>33</v>
      </c>
      <c r="K79" s="221">
        <v>0</v>
      </c>
      <c r="L79" s="191" t="s">
        <v>23</v>
      </c>
    </row>
    <row r="80" spans="1:12" ht="12.3">
      <c r="A80" s="218">
        <v>42460</v>
      </c>
      <c r="B80" s="197" t="s">
        <v>1556</v>
      </c>
      <c r="C80" s="197" t="s">
        <v>17</v>
      </c>
      <c r="D80" s="234">
        <v>5</v>
      </c>
      <c r="E80" s="197">
        <v>6</v>
      </c>
      <c r="F80" s="197"/>
      <c r="G80" s="184" t="s">
        <v>23</v>
      </c>
      <c r="H80" s="195" t="s">
        <v>23</v>
      </c>
      <c r="I80" s="219">
        <v>2</v>
      </c>
      <c r="J80" s="221"/>
      <c r="K80" s="221"/>
      <c r="L80" s="191" t="s">
        <v>23</v>
      </c>
    </row>
    <row r="81" spans="1:12" ht="12.3">
      <c r="A81" s="218">
        <v>42460</v>
      </c>
      <c r="B81" s="197" t="s">
        <v>1557</v>
      </c>
      <c r="C81" s="197" t="s">
        <v>44</v>
      </c>
      <c r="D81" s="197">
        <v>4.5</v>
      </c>
      <c r="E81" s="197"/>
      <c r="F81" s="197"/>
      <c r="G81" s="184" t="s">
        <v>23</v>
      </c>
      <c r="H81" s="195" t="s">
        <v>23</v>
      </c>
      <c r="I81" s="219">
        <v>2</v>
      </c>
      <c r="J81" s="221">
        <v>44</v>
      </c>
      <c r="K81" s="221">
        <v>0</v>
      </c>
      <c r="L81" s="191" t="s">
        <v>23</v>
      </c>
    </row>
    <row r="82" spans="1:12" ht="12.3">
      <c r="A82" s="218">
        <v>42460</v>
      </c>
      <c r="B82" s="197" t="s">
        <v>1558</v>
      </c>
      <c r="C82" s="197" t="s">
        <v>33</v>
      </c>
      <c r="D82" s="234">
        <v>2</v>
      </c>
      <c r="E82" s="197"/>
      <c r="F82" s="197"/>
      <c r="G82" s="184" t="s">
        <v>23</v>
      </c>
      <c r="H82" s="195" t="s">
        <v>23</v>
      </c>
      <c r="I82" s="219">
        <v>1</v>
      </c>
      <c r="J82" s="221"/>
      <c r="K82" s="221">
        <v>0</v>
      </c>
      <c r="L82" s="191" t="s">
        <v>23</v>
      </c>
    </row>
    <row r="83" spans="1:12" ht="12.3">
      <c r="A83" s="218">
        <v>42466</v>
      </c>
      <c r="B83" s="197" t="s">
        <v>1559</v>
      </c>
      <c r="C83" s="197" t="s">
        <v>44</v>
      </c>
      <c r="D83" s="196">
        <v>6.1</v>
      </c>
      <c r="E83" s="197"/>
      <c r="F83" s="197" t="s">
        <v>134</v>
      </c>
      <c r="G83" s="184" t="s">
        <v>23</v>
      </c>
      <c r="H83" s="195" t="s">
        <v>23</v>
      </c>
      <c r="I83" s="219" t="s">
        <v>1478</v>
      </c>
      <c r="J83" s="221"/>
      <c r="K83" s="221">
        <v>0</v>
      </c>
      <c r="L83" s="191" t="s">
        <v>23</v>
      </c>
    </row>
    <row r="84" spans="1:12" ht="12.3">
      <c r="A84" s="218">
        <v>42469</v>
      </c>
      <c r="B84" s="197" t="s">
        <v>1524</v>
      </c>
      <c r="C84" s="197" t="s">
        <v>1001</v>
      </c>
      <c r="D84" s="197">
        <v>4.5</v>
      </c>
      <c r="E84" s="197"/>
      <c r="F84" s="197"/>
      <c r="G84" s="184" t="s">
        <v>23</v>
      </c>
      <c r="H84" s="195">
        <v>5</v>
      </c>
      <c r="I84" s="219">
        <v>1</v>
      </c>
      <c r="J84" s="221">
        <v>0</v>
      </c>
      <c r="K84" s="221">
        <v>0</v>
      </c>
      <c r="L84" s="191" t="s">
        <v>23</v>
      </c>
    </row>
    <row r="85" spans="1:12" ht="12.3">
      <c r="A85" s="218">
        <v>42470</v>
      </c>
      <c r="B85" s="197" t="s">
        <v>1560</v>
      </c>
      <c r="C85" s="197" t="s">
        <v>44</v>
      </c>
      <c r="D85" s="196">
        <v>5.9</v>
      </c>
      <c r="E85" s="197">
        <v>67</v>
      </c>
      <c r="F85" s="197"/>
      <c r="G85" s="184" t="s">
        <v>23</v>
      </c>
      <c r="H85" s="195" t="s">
        <v>23</v>
      </c>
      <c r="I85" s="219" t="s">
        <v>1511</v>
      </c>
      <c r="J85" s="221">
        <v>50</v>
      </c>
      <c r="K85" s="221"/>
      <c r="L85" s="191" t="s">
        <v>23</v>
      </c>
    </row>
    <row r="86" spans="1:12" ht="12.3">
      <c r="A86" s="224">
        <v>42470</v>
      </c>
      <c r="B86" s="225" t="s">
        <v>1561</v>
      </c>
      <c r="C86" s="225" t="s">
        <v>216</v>
      </c>
      <c r="D86" s="225">
        <v>6.6</v>
      </c>
      <c r="E86" s="225">
        <v>200</v>
      </c>
      <c r="F86" s="225"/>
      <c r="G86" s="184">
        <v>10</v>
      </c>
      <c r="H86" s="237">
        <v>55</v>
      </c>
      <c r="I86" s="238">
        <v>4</v>
      </c>
      <c r="J86" s="227"/>
      <c r="K86" s="227">
        <v>107</v>
      </c>
      <c r="L86" s="228" t="s">
        <v>23</v>
      </c>
    </row>
    <row r="87" spans="1:12" ht="12.3">
      <c r="A87" s="224"/>
      <c r="B87" s="225"/>
      <c r="C87" s="225" t="s">
        <v>608</v>
      </c>
      <c r="D87" s="225"/>
      <c r="E87" s="225"/>
      <c r="F87" s="225"/>
      <c r="G87" s="184"/>
      <c r="H87" s="237"/>
      <c r="I87" s="238"/>
      <c r="J87" s="227"/>
      <c r="K87" s="227"/>
      <c r="L87" s="228"/>
    </row>
    <row r="88" spans="1:12" ht="12.3">
      <c r="A88" s="224"/>
      <c r="B88" s="225"/>
      <c r="C88" s="225" t="s">
        <v>24</v>
      </c>
      <c r="D88" s="225"/>
      <c r="E88" s="225"/>
      <c r="F88" s="225"/>
      <c r="G88" s="184"/>
      <c r="H88" s="237"/>
      <c r="I88" s="238"/>
      <c r="J88" s="227"/>
      <c r="K88" s="227"/>
      <c r="L88" s="228"/>
    </row>
    <row r="89" spans="1:12" ht="12.3">
      <c r="A89" s="224"/>
      <c r="B89" s="225"/>
      <c r="C89" s="225" t="s">
        <v>83</v>
      </c>
      <c r="D89" s="225"/>
      <c r="E89" s="225"/>
      <c r="F89" s="225"/>
      <c r="G89" s="184"/>
      <c r="H89" s="237"/>
      <c r="I89" s="238"/>
      <c r="J89" s="227"/>
      <c r="K89" s="227"/>
      <c r="L89" s="228"/>
    </row>
    <row r="90" spans="1:12" ht="12.3">
      <c r="A90" s="218">
        <v>42470</v>
      </c>
      <c r="B90" s="196" t="s">
        <v>1562</v>
      </c>
      <c r="C90" s="196" t="s">
        <v>118</v>
      </c>
      <c r="D90" s="234">
        <v>5</v>
      </c>
      <c r="E90" s="197"/>
      <c r="F90" s="197"/>
      <c r="G90" s="184" t="s">
        <v>23</v>
      </c>
      <c r="H90" s="195">
        <v>5</v>
      </c>
      <c r="I90" s="219">
        <v>2</v>
      </c>
      <c r="J90" s="221">
        <v>77</v>
      </c>
      <c r="K90" s="221">
        <v>0</v>
      </c>
      <c r="L90" s="191" t="s">
        <v>23</v>
      </c>
    </row>
    <row r="91" spans="1:12" ht="12.3">
      <c r="A91" s="218">
        <v>42471</v>
      </c>
      <c r="B91" s="197" t="s">
        <v>1563</v>
      </c>
      <c r="C91" s="197" t="s">
        <v>317</v>
      </c>
      <c r="D91" s="197">
        <v>3.5</v>
      </c>
      <c r="E91" s="197"/>
      <c r="F91" s="197"/>
      <c r="G91" s="184" t="s">
        <v>23</v>
      </c>
      <c r="H91" s="195" t="s">
        <v>23</v>
      </c>
      <c r="I91" s="219">
        <v>1</v>
      </c>
      <c r="J91" s="221">
        <v>1</v>
      </c>
      <c r="K91" s="221">
        <v>0</v>
      </c>
      <c r="L91" s="191" t="s">
        <v>23</v>
      </c>
    </row>
    <row r="92" spans="1:12" ht="12.3">
      <c r="A92" s="224">
        <v>42473</v>
      </c>
      <c r="B92" s="225" t="s">
        <v>1564</v>
      </c>
      <c r="C92" s="225" t="s">
        <v>226</v>
      </c>
      <c r="D92" s="245">
        <v>6.9</v>
      </c>
      <c r="E92" s="225">
        <v>135</v>
      </c>
      <c r="F92" s="225" t="s">
        <v>35</v>
      </c>
      <c r="G92" s="184">
        <v>2</v>
      </c>
      <c r="H92" s="237">
        <v>247</v>
      </c>
      <c r="I92" s="238">
        <v>4</v>
      </c>
      <c r="J92" s="227"/>
      <c r="K92" s="227"/>
      <c r="L92" s="228" t="s">
        <v>23</v>
      </c>
    </row>
    <row r="93" spans="1:12" ht="12.3">
      <c r="A93" s="224"/>
      <c r="B93" s="225"/>
      <c r="C93" s="225" t="s">
        <v>24</v>
      </c>
      <c r="D93" s="245"/>
      <c r="E93" s="225"/>
      <c r="F93" s="225"/>
      <c r="G93" s="184"/>
      <c r="H93" s="237"/>
      <c r="I93" s="238"/>
      <c r="J93" s="227"/>
      <c r="K93" s="227"/>
      <c r="L93" s="228"/>
    </row>
    <row r="94" spans="1:12" ht="12.3">
      <c r="A94" s="224"/>
      <c r="B94" s="225"/>
      <c r="C94" s="225" t="s">
        <v>1262</v>
      </c>
      <c r="D94" s="245"/>
      <c r="E94" s="225"/>
      <c r="F94" s="225"/>
      <c r="G94" s="184"/>
      <c r="H94" s="237"/>
      <c r="I94" s="238"/>
      <c r="J94" s="227"/>
      <c r="K94" s="227"/>
      <c r="L94" s="228"/>
    </row>
    <row r="95" spans="1:12" ht="12.3">
      <c r="A95" s="218">
        <v>42473</v>
      </c>
      <c r="B95" s="196" t="s">
        <v>1565</v>
      </c>
      <c r="C95" s="196" t="s">
        <v>62</v>
      </c>
      <c r="D95" s="246">
        <v>6</v>
      </c>
      <c r="E95" s="197">
        <v>16</v>
      </c>
      <c r="F95" s="197" t="s">
        <v>35</v>
      </c>
      <c r="G95" s="184" t="s">
        <v>23</v>
      </c>
      <c r="H95" s="195">
        <v>3</v>
      </c>
      <c r="I95" s="219">
        <v>3</v>
      </c>
      <c r="J95" s="247"/>
      <c r="K95" s="221">
        <v>5</v>
      </c>
      <c r="L95" s="191" t="s">
        <v>23</v>
      </c>
    </row>
    <row r="96" spans="1:12" ht="12.3">
      <c r="A96" s="224">
        <v>42474</v>
      </c>
      <c r="B96" s="225" t="s">
        <v>1566</v>
      </c>
      <c r="C96" s="225" t="s">
        <v>258</v>
      </c>
      <c r="D96" s="225">
        <v>6.5</v>
      </c>
      <c r="E96" s="225">
        <v>11</v>
      </c>
      <c r="F96" s="225" t="s">
        <v>1567</v>
      </c>
      <c r="G96" s="248">
        <v>102</v>
      </c>
      <c r="H96" s="249">
        <v>1684</v>
      </c>
      <c r="I96" s="238">
        <v>4</v>
      </c>
      <c r="J96" s="250">
        <v>136126</v>
      </c>
      <c r="K96" s="250">
        <v>13248</v>
      </c>
      <c r="L96" s="228" t="s">
        <v>23</v>
      </c>
    </row>
    <row r="97" spans="1:12" ht="12.3">
      <c r="A97" s="224">
        <v>42475</v>
      </c>
      <c r="B97" s="225" t="s">
        <v>1566</v>
      </c>
      <c r="C97" s="225" t="s">
        <v>258</v>
      </c>
      <c r="D97" s="225">
        <v>7.3</v>
      </c>
      <c r="E97" s="225">
        <v>12</v>
      </c>
      <c r="F97" s="225" t="s">
        <v>1567</v>
      </c>
      <c r="G97" s="85"/>
      <c r="H97" s="85"/>
      <c r="I97" s="238">
        <v>5</v>
      </c>
      <c r="J97" s="85"/>
      <c r="K97" s="85"/>
      <c r="L97" s="228" t="s">
        <v>23</v>
      </c>
    </row>
    <row r="98" spans="1:12" ht="12.3">
      <c r="A98" s="218">
        <v>42475</v>
      </c>
      <c r="B98" s="196" t="s">
        <v>1566</v>
      </c>
      <c r="C98" s="196" t="s">
        <v>258</v>
      </c>
      <c r="D98" s="196">
        <v>5.8</v>
      </c>
      <c r="E98" s="197">
        <v>12</v>
      </c>
      <c r="F98" s="197" t="s">
        <v>1568</v>
      </c>
      <c r="G98" s="184" t="s">
        <v>23</v>
      </c>
      <c r="H98" s="195" t="s">
        <v>23</v>
      </c>
      <c r="I98" s="219">
        <v>3</v>
      </c>
      <c r="J98" s="85"/>
      <c r="K98" s="85"/>
      <c r="L98" s="191" t="s">
        <v>23</v>
      </c>
    </row>
    <row r="99" spans="1:12" ht="12.3">
      <c r="A99" s="224">
        <v>42476</v>
      </c>
      <c r="B99" s="225" t="s">
        <v>1569</v>
      </c>
      <c r="C99" s="225" t="s">
        <v>29</v>
      </c>
      <c r="D99" s="225">
        <v>7.8</v>
      </c>
      <c r="E99" s="225">
        <v>19</v>
      </c>
      <c r="F99" s="225" t="s">
        <v>363</v>
      </c>
      <c r="G99" s="184">
        <v>672</v>
      </c>
      <c r="H99" s="237">
        <v>16274</v>
      </c>
      <c r="I99" s="238">
        <v>5</v>
      </c>
      <c r="J99" s="227">
        <v>63000</v>
      </c>
      <c r="K99" s="227">
        <v>6998</v>
      </c>
      <c r="L99" s="228" t="s">
        <v>1570</v>
      </c>
    </row>
    <row r="100" spans="1:12" ht="12.3">
      <c r="A100" s="224"/>
      <c r="B100" s="225"/>
      <c r="C100" s="225" t="s">
        <v>378</v>
      </c>
      <c r="D100" s="225"/>
      <c r="E100" s="225"/>
      <c r="F100" s="225"/>
      <c r="G100" s="184"/>
      <c r="H100" s="237"/>
      <c r="I100" s="238"/>
      <c r="J100" s="227"/>
      <c r="K100" s="227"/>
      <c r="L100" s="228"/>
    </row>
    <row r="101" spans="1:12" ht="12.3">
      <c r="A101" s="218">
        <v>42478</v>
      </c>
      <c r="B101" s="197" t="s">
        <v>1571</v>
      </c>
      <c r="C101" s="197" t="s">
        <v>1128</v>
      </c>
      <c r="D101" s="197">
        <v>4.2</v>
      </c>
      <c r="E101" s="197"/>
      <c r="F101" s="197"/>
      <c r="G101" s="184" t="s">
        <v>23</v>
      </c>
      <c r="H101" s="195" t="s">
        <v>23</v>
      </c>
      <c r="I101" s="219">
        <v>1</v>
      </c>
      <c r="J101" s="221">
        <v>6</v>
      </c>
      <c r="K101" s="221">
        <v>0</v>
      </c>
      <c r="L101" s="191" t="s">
        <v>23</v>
      </c>
    </row>
    <row r="102" spans="1:12" ht="12.3">
      <c r="A102" s="218">
        <v>42482</v>
      </c>
      <c r="B102" s="197" t="s">
        <v>1504</v>
      </c>
      <c r="C102" s="197" t="s">
        <v>726</v>
      </c>
      <c r="D102" s="197" t="s">
        <v>1572</v>
      </c>
      <c r="E102" s="197">
        <v>5</v>
      </c>
      <c r="F102" s="197" t="s">
        <v>684</v>
      </c>
      <c r="G102" s="184" t="s">
        <v>23</v>
      </c>
      <c r="H102" s="195" t="s">
        <v>23</v>
      </c>
      <c r="I102" s="219" t="s">
        <v>1478</v>
      </c>
      <c r="J102" s="221">
        <v>200</v>
      </c>
      <c r="K102" s="221">
        <v>0</v>
      </c>
      <c r="L102" s="191" t="s">
        <v>23</v>
      </c>
    </row>
    <row r="103" spans="1:12" ht="12.3">
      <c r="A103" s="218">
        <v>42485</v>
      </c>
      <c r="B103" s="197" t="s">
        <v>1573</v>
      </c>
      <c r="C103" s="197" t="s">
        <v>915</v>
      </c>
      <c r="D103" s="197">
        <v>4.2</v>
      </c>
      <c r="E103" s="197"/>
      <c r="F103" s="197"/>
      <c r="G103" s="184" t="s">
        <v>23</v>
      </c>
      <c r="H103" s="195" t="s">
        <v>23</v>
      </c>
      <c r="I103" s="219">
        <v>1</v>
      </c>
      <c r="J103" s="221"/>
      <c r="K103" s="221">
        <v>0</v>
      </c>
      <c r="L103" s="191" t="s">
        <v>23</v>
      </c>
    </row>
    <row r="104" spans="1:12" ht="12.3">
      <c r="A104" s="218">
        <v>42486</v>
      </c>
      <c r="B104" s="197" t="s">
        <v>1556</v>
      </c>
      <c r="C104" s="197" t="s">
        <v>17</v>
      </c>
      <c r="D104" s="197">
        <v>4.4000000000000004</v>
      </c>
      <c r="E104" s="197">
        <v>12</v>
      </c>
      <c r="F104" s="197"/>
      <c r="G104" s="184" t="s">
        <v>23</v>
      </c>
      <c r="H104" s="195" t="s">
        <v>23</v>
      </c>
      <c r="I104" s="219" t="s">
        <v>1478</v>
      </c>
      <c r="J104" s="221"/>
      <c r="K104" s="221">
        <v>0</v>
      </c>
      <c r="L104" s="191" t="s">
        <v>23</v>
      </c>
    </row>
    <row r="105" spans="1:12" ht="12.3">
      <c r="A105" s="218">
        <v>42487</v>
      </c>
      <c r="B105" s="197" t="s">
        <v>1574</v>
      </c>
      <c r="C105" s="197" t="s">
        <v>317</v>
      </c>
      <c r="D105" s="197">
        <v>3.7</v>
      </c>
      <c r="E105" s="197"/>
      <c r="F105" s="197"/>
      <c r="G105" s="184" t="s">
        <v>23</v>
      </c>
      <c r="H105" s="195" t="s">
        <v>23</v>
      </c>
      <c r="I105" s="219">
        <v>1</v>
      </c>
      <c r="J105" s="221">
        <v>1</v>
      </c>
      <c r="K105" s="221">
        <v>0</v>
      </c>
      <c r="L105" s="191" t="s">
        <v>23</v>
      </c>
    </row>
    <row r="106" spans="1:12" ht="12.3">
      <c r="A106" s="218">
        <v>42488</v>
      </c>
      <c r="B106" s="197" t="s">
        <v>1575</v>
      </c>
      <c r="C106" s="197" t="s">
        <v>512</v>
      </c>
      <c r="D106" s="197">
        <v>4.9000000000000004</v>
      </c>
      <c r="E106" s="197"/>
      <c r="F106" s="197" t="s">
        <v>134</v>
      </c>
      <c r="G106" s="184" t="s">
        <v>23</v>
      </c>
      <c r="H106" s="195" t="s">
        <v>23</v>
      </c>
      <c r="I106" s="219">
        <v>1</v>
      </c>
      <c r="J106" s="221"/>
      <c r="K106" s="221">
        <v>0</v>
      </c>
      <c r="L106" s="191" t="s">
        <v>23</v>
      </c>
    </row>
    <row r="107" spans="1:12" ht="12.3">
      <c r="A107" s="218">
        <v>42488</v>
      </c>
      <c r="B107" s="197" t="s">
        <v>1576</v>
      </c>
      <c r="C107" s="197" t="s">
        <v>1251</v>
      </c>
      <c r="D107" s="246">
        <v>7</v>
      </c>
      <c r="E107" s="197">
        <v>27</v>
      </c>
      <c r="F107" s="197" t="s">
        <v>123</v>
      </c>
      <c r="G107" s="184" t="s">
        <v>23</v>
      </c>
      <c r="H107" s="195" t="s">
        <v>23</v>
      </c>
      <c r="I107" s="219">
        <v>2</v>
      </c>
      <c r="J107" s="221"/>
      <c r="K107" s="221"/>
      <c r="L107" s="191" t="s">
        <v>1096</v>
      </c>
    </row>
    <row r="108" spans="1:12" ht="12.3">
      <c r="A108" s="224">
        <v>42489</v>
      </c>
      <c r="B108" s="225" t="s">
        <v>1577</v>
      </c>
      <c r="C108" s="225" t="s">
        <v>942</v>
      </c>
      <c r="D108" s="225">
        <v>3.5</v>
      </c>
      <c r="E108" s="225"/>
      <c r="F108" s="225"/>
      <c r="G108" s="184">
        <v>2</v>
      </c>
      <c r="H108" s="237" t="s">
        <v>23</v>
      </c>
      <c r="I108" s="238">
        <v>1</v>
      </c>
      <c r="J108" s="227"/>
      <c r="K108" s="227"/>
      <c r="L108" s="228" t="s">
        <v>23</v>
      </c>
    </row>
    <row r="109" spans="1:12" ht="12.3">
      <c r="A109" s="218">
        <v>42492</v>
      </c>
      <c r="B109" s="197" t="s">
        <v>1578</v>
      </c>
      <c r="C109" s="197" t="s">
        <v>317</v>
      </c>
      <c r="D109" s="197">
        <v>3.7</v>
      </c>
      <c r="E109" s="197"/>
      <c r="F109" s="197"/>
      <c r="G109" s="184" t="s">
        <v>23</v>
      </c>
      <c r="H109" s="195" t="s">
        <v>23</v>
      </c>
      <c r="I109" s="219" t="s">
        <v>1478</v>
      </c>
      <c r="J109" s="221"/>
      <c r="K109" s="221">
        <v>0</v>
      </c>
      <c r="L109" s="191" t="s">
        <v>23</v>
      </c>
    </row>
    <row r="110" spans="1:12" ht="12.3">
      <c r="A110" s="218">
        <v>42494</v>
      </c>
      <c r="B110" s="196" t="s">
        <v>1526</v>
      </c>
      <c r="C110" s="196" t="s">
        <v>83</v>
      </c>
      <c r="D110" s="197">
        <v>4.7</v>
      </c>
      <c r="E110" s="197">
        <v>10</v>
      </c>
      <c r="F110" s="197"/>
      <c r="G110" s="184" t="s">
        <v>23</v>
      </c>
      <c r="H110" s="195" t="s">
        <v>23</v>
      </c>
      <c r="I110" s="219">
        <v>3</v>
      </c>
      <c r="J110" s="221">
        <v>164</v>
      </c>
      <c r="K110" s="221">
        <v>1</v>
      </c>
      <c r="L110" s="191" t="s">
        <v>23</v>
      </c>
    </row>
    <row r="111" spans="1:12" ht="12.3">
      <c r="A111" s="218">
        <v>42498</v>
      </c>
      <c r="B111" s="197" t="s">
        <v>1579</v>
      </c>
      <c r="C111" s="197" t="s">
        <v>33</v>
      </c>
      <c r="D111" s="246">
        <v>6</v>
      </c>
      <c r="E111" s="197">
        <v>35</v>
      </c>
      <c r="F111" s="197"/>
      <c r="G111" s="184" t="s">
        <v>23</v>
      </c>
      <c r="H111" s="195" t="s">
        <v>23</v>
      </c>
      <c r="I111" s="219">
        <v>1</v>
      </c>
      <c r="J111" s="221">
        <v>2</v>
      </c>
      <c r="K111" s="221">
        <v>0</v>
      </c>
      <c r="L111" s="191" t="s">
        <v>23</v>
      </c>
    </row>
    <row r="112" spans="1:12" ht="12.3">
      <c r="A112" s="218">
        <v>42500</v>
      </c>
      <c r="B112" s="197" t="s">
        <v>1580</v>
      </c>
      <c r="C112" s="197" t="s">
        <v>652</v>
      </c>
      <c r="D112" s="197">
        <v>4.2</v>
      </c>
      <c r="E112" s="197">
        <v>10</v>
      </c>
      <c r="F112" s="197" t="s">
        <v>134</v>
      </c>
      <c r="G112" s="184" t="s">
        <v>23</v>
      </c>
      <c r="H112" s="195" t="s">
        <v>23</v>
      </c>
      <c r="I112" s="219" t="s">
        <v>1478</v>
      </c>
      <c r="J112" s="221"/>
      <c r="K112" s="221">
        <v>1</v>
      </c>
      <c r="L112" s="191" t="s">
        <v>23</v>
      </c>
    </row>
    <row r="113" spans="1:12" ht="12.3">
      <c r="A113" s="218">
        <v>42500</v>
      </c>
      <c r="B113" s="197" t="s">
        <v>1581</v>
      </c>
      <c r="C113" s="197" t="s">
        <v>1582</v>
      </c>
      <c r="D113" s="197"/>
      <c r="E113" s="197"/>
      <c r="F113" s="197"/>
      <c r="G113" s="184" t="s">
        <v>23</v>
      </c>
      <c r="H113" s="195" t="s">
        <v>23</v>
      </c>
      <c r="I113" s="219">
        <v>2</v>
      </c>
      <c r="J113" s="221"/>
      <c r="K113" s="221"/>
      <c r="L113" s="191" t="s">
        <v>23</v>
      </c>
    </row>
    <row r="114" spans="1:12" ht="12.3">
      <c r="A114" s="218">
        <v>42501</v>
      </c>
      <c r="B114" s="196" t="s">
        <v>1583</v>
      </c>
      <c r="C114" s="196" t="s">
        <v>83</v>
      </c>
      <c r="D114" s="196">
        <v>5.5</v>
      </c>
      <c r="E114" s="197">
        <v>7</v>
      </c>
      <c r="F114" s="197"/>
      <c r="G114" s="184" t="s">
        <v>23</v>
      </c>
      <c r="H114" s="195">
        <v>69</v>
      </c>
      <c r="I114" s="219">
        <v>4</v>
      </c>
      <c r="J114" s="221"/>
      <c r="K114" s="221">
        <v>108</v>
      </c>
      <c r="L114" s="191" t="s">
        <v>23</v>
      </c>
    </row>
    <row r="115" spans="1:12" ht="12.3">
      <c r="A115" s="218">
        <v>42501</v>
      </c>
      <c r="B115" s="196" t="s">
        <v>1524</v>
      </c>
      <c r="C115" s="196" t="s">
        <v>1001</v>
      </c>
      <c r="D115" s="197">
        <v>4.5</v>
      </c>
      <c r="E115" s="197">
        <v>10</v>
      </c>
      <c r="F115" s="197"/>
      <c r="G115" s="184" t="s">
        <v>23</v>
      </c>
      <c r="H115" s="195">
        <v>3</v>
      </c>
      <c r="I115" s="219"/>
      <c r="J115" s="221"/>
      <c r="K115" s="221">
        <v>0</v>
      </c>
      <c r="L115" s="191" t="s">
        <v>23</v>
      </c>
    </row>
    <row r="116" spans="1:12" ht="12.3">
      <c r="A116" s="218">
        <v>42501</v>
      </c>
      <c r="B116" s="196" t="s">
        <v>1584</v>
      </c>
      <c r="C116" s="196" t="s">
        <v>33</v>
      </c>
      <c r="D116" s="197">
        <v>4.8</v>
      </c>
      <c r="E116" s="197">
        <v>15</v>
      </c>
      <c r="F116" s="197"/>
      <c r="G116" s="184" t="s">
        <v>23</v>
      </c>
      <c r="H116" s="195">
        <v>1</v>
      </c>
      <c r="I116" s="219">
        <v>2</v>
      </c>
      <c r="J116" s="221">
        <v>69</v>
      </c>
      <c r="K116" s="221">
        <v>2</v>
      </c>
      <c r="L116" s="191" t="s">
        <v>23</v>
      </c>
    </row>
    <row r="117" spans="1:12" ht="12.3">
      <c r="A117" s="218">
        <v>42502</v>
      </c>
      <c r="B117" s="197" t="s">
        <v>1585</v>
      </c>
      <c r="C117" s="197" t="s">
        <v>1586</v>
      </c>
      <c r="D117" s="197">
        <v>4.2</v>
      </c>
      <c r="E117" s="197"/>
      <c r="F117" s="197"/>
      <c r="G117" s="184" t="s">
        <v>23</v>
      </c>
      <c r="H117" s="195" t="s">
        <v>23</v>
      </c>
      <c r="I117" s="219">
        <v>1</v>
      </c>
      <c r="J117" s="221">
        <v>1</v>
      </c>
      <c r="K117" s="221">
        <v>0</v>
      </c>
      <c r="L117" s="191" t="s">
        <v>23</v>
      </c>
    </row>
    <row r="118" spans="1:12" ht="12.3">
      <c r="A118" s="218">
        <v>42502</v>
      </c>
      <c r="B118" s="196" t="s">
        <v>1587</v>
      </c>
      <c r="C118" s="196" t="s">
        <v>570</v>
      </c>
      <c r="D118" s="196">
        <v>5.8</v>
      </c>
      <c r="E118" s="197">
        <v>17</v>
      </c>
      <c r="F118" s="197" t="s">
        <v>1588</v>
      </c>
      <c r="G118" s="184" t="s">
        <v>23</v>
      </c>
      <c r="H118" s="195">
        <v>1</v>
      </c>
      <c r="I118" s="219">
        <v>1</v>
      </c>
      <c r="J118" s="221"/>
      <c r="K118" s="221">
        <v>0</v>
      </c>
      <c r="L118" s="191" t="s">
        <v>23</v>
      </c>
    </row>
    <row r="119" spans="1:12" ht="12.3">
      <c r="A119" s="218">
        <v>42506</v>
      </c>
      <c r="B119" s="196" t="s">
        <v>1562</v>
      </c>
      <c r="C119" s="196" t="s">
        <v>118</v>
      </c>
      <c r="D119" s="197">
        <v>4.9000000000000004</v>
      </c>
      <c r="E119" s="197"/>
      <c r="F119" s="197"/>
      <c r="G119" s="184" t="s">
        <v>23</v>
      </c>
      <c r="H119" s="195">
        <v>4</v>
      </c>
      <c r="I119" s="219">
        <v>2</v>
      </c>
      <c r="J119" s="221"/>
      <c r="K119" s="221">
        <v>0</v>
      </c>
      <c r="L119" s="191" t="s">
        <v>23</v>
      </c>
    </row>
    <row r="120" spans="1:12" ht="12.3">
      <c r="A120" s="218">
        <v>42506</v>
      </c>
      <c r="B120" s="197" t="s">
        <v>1589</v>
      </c>
      <c r="C120" s="197" t="s">
        <v>258</v>
      </c>
      <c r="D120" s="196">
        <v>5.6</v>
      </c>
      <c r="E120" s="197">
        <v>40</v>
      </c>
      <c r="F120" s="197" t="s">
        <v>1503</v>
      </c>
      <c r="G120" s="184" t="s">
        <v>23</v>
      </c>
      <c r="H120" s="195">
        <v>1</v>
      </c>
      <c r="I120" s="219"/>
      <c r="J120" s="221"/>
      <c r="K120" s="221">
        <v>0</v>
      </c>
      <c r="L120" s="191" t="s">
        <v>23</v>
      </c>
    </row>
    <row r="121" spans="1:12" ht="12.3">
      <c r="A121" s="218">
        <v>42507</v>
      </c>
      <c r="B121" s="196" t="s">
        <v>1526</v>
      </c>
      <c r="C121" s="196" t="s">
        <v>83</v>
      </c>
      <c r="D121" s="234">
        <v>5</v>
      </c>
      <c r="E121" s="197">
        <v>15</v>
      </c>
      <c r="F121" s="197"/>
      <c r="G121" s="184" t="s">
        <v>23</v>
      </c>
      <c r="H121" s="195">
        <v>4</v>
      </c>
      <c r="I121" s="219">
        <v>4</v>
      </c>
      <c r="J121" s="221">
        <v>37980</v>
      </c>
      <c r="K121" s="221">
        <v>192</v>
      </c>
      <c r="L121" s="191" t="s">
        <v>23</v>
      </c>
    </row>
    <row r="122" spans="1:12" ht="12.3">
      <c r="A122" s="218">
        <v>42508</v>
      </c>
      <c r="B122" s="196" t="s">
        <v>1590</v>
      </c>
      <c r="C122" s="196" t="s">
        <v>29</v>
      </c>
      <c r="D122" s="196">
        <v>6.7</v>
      </c>
      <c r="E122" s="197">
        <v>34</v>
      </c>
      <c r="F122" s="197"/>
      <c r="G122" s="248">
        <v>1</v>
      </c>
      <c r="H122" s="251">
        <v>162</v>
      </c>
      <c r="I122" s="219">
        <v>3</v>
      </c>
      <c r="J122" s="221"/>
      <c r="K122" s="252">
        <v>9</v>
      </c>
      <c r="L122" s="191" t="s">
        <v>23</v>
      </c>
    </row>
    <row r="123" spans="1:12" ht="12.3">
      <c r="A123" s="224">
        <v>42508</v>
      </c>
      <c r="B123" s="225" t="s">
        <v>1590</v>
      </c>
      <c r="C123" s="225" t="s">
        <v>29</v>
      </c>
      <c r="D123" s="225">
        <v>6.8</v>
      </c>
      <c r="E123" s="225">
        <v>31</v>
      </c>
      <c r="F123" s="225"/>
      <c r="G123" s="85"/>
      <c r="H123" s="85"/>
      <c r="I123" s="238">
        <v>3</v>
      </c>
      <c r="J123" s="227"/>
      <c r="K123" s="85"/>
      <c r="L123" s="228" t="s">
        <v>23</v>
      </c>
    </row>
    <row r="124" spans="1:12" ht="12.3">
      <c r="A124" s="218">
        <v>42509</v>
      </c>
      <c r="B124" s="197" t="s">
        <v>1591</v>
      </c>
      <c r="C124" s="197" t="s">
        <v>76</v>
      </c>
      <c r="D124" s="197">
        <v>3.4</v>
      </c>
      <c r="E124" s="197">
        <v>15</v>
      </c>
      <c r="F124" s="197"/>
      <c r="G124" s="184" t="s">
        <v>23</v>
      </c>
      <c r="H124" s="195" t="s">
        <v>23</v>
      </c>
      <c r="I124" s="219">
        <v>1</v>
      </c>
      <c r="J124" s="221">
        <v>0</v>
      </c>
      <c r="K124" s="221">
        <v>1</v>
      </c>
      <c r="L124" s="191" t="s">
        <v>23</v>
      </c>
    </row>
    <row r="125" spans="1:12" ht="12.3">
      <c r="A125" s="218">
        <v>42511</v>
      </c>
      <c r="B125" s="197" t="s">
        <v>1592</v>
      </c>
      <c r="C125" s="197" t="s">
        <v>1082</v>
      </c>
      <c r="D125" s="197">
        <v>4.8</v>
      </c>
      <c r="E125" s="197"/>
      <c r="F125" s="197" t="s">
        <v>35</v>
      </c>
      <c r="G125" s="184" t="s">
        <v>23</v>
      </c>
      <c r="H125" s="195" t="s">
        <v>23</v>
      </c>
      <c r="I125" s="219">
        <v>2</v>
      </c>
      <c r="J125" s="221"/>
      <c r="K125" s="221"/>
      <c r="L125" s="191" t="s">
        <v>23</v>
      </c>
    </row>
    <row r="126" spans="1:12" ht="12.3">
      <c r="A126" s="218">
        <v>42512</v>
      </c>
      <c r="B126" s="197" t="s">
        <v>1583</v>
      </c>
      <c r="C126" s="197" t="s">
        <v>83</v>
      </c>
      <c r="D126" s="197">
        <v>5.3</v>
      </c>
      <c r="E126" s="197">
        <v>8</v>
      </c>
      <c r="F126" s="197"/>
      <c r="G126" s="184" t="s">
        <v>23</v>
      </c>
      <c r="H126" s="195" t="s">
        <v>23</v>
      </c>
      <c r="I126" s="219">
        <v>2</v>
      </c>
      <c r="J126" s="221">
        <v>816</v>
      </c>
      <c r="K126" s="221">
        <v>0</v>
      </c>
      <c r="L126" s="191" t="s">
        <v>23</v>
      </c>
    </row>
    <row r="127" spans="1:12" ht="12.3">
      <c r="A127" s="218">
        <v>42512</v>
      </c>
      <c r="B127" s="197" t="s">
        <v>1593</v>
      </c>
      <c r="C127" s="197" t="s">
        <v>1155</v>
      </c>
      <c r="D127" s="196">
        <v>5.5</v>
      </c>
      <c r="E127" s="197">
        <v>15</v>
      </c>
      <c r="F127" s="197"/>
      <c r="G127" s="184" t="s">
        <v>23</v>
      </c>
      <c r="H127" s="195" t="s">
        <v>23</v>
      </c>
      <c r="I127" s="219">
        <v>1</v>
      </c>
      <c r="J127" s="221"/>
      <c r="K127" s="221">
        <v>0</v>
      </c>
      <c r="L127" s="191" t="s">
        <v>23</v>
      </c>
    </row>
    <row r="128" spans="1:12" ht="12.3">
      <c r="A128" s="218">
        <v>42512</v>
      </c>
      <c r="B128" s="197" t="s">
        <v>1594</v>
      </c>
      <c r="C128" s="197" t="s">
        <v>83</v>
      </c>
      <c r="D128" s="197">
        <v>4.5999999999999996</v>
      </c>
      <c r="E128" s="197">
        <v>6</v>
      </c>
      <c r="F128" s="197"/>
      <c r="G128" s="184" t="s">
        <v>23</v>
      </c>
      <c r="H128" s="195" t="s">
        <v>23</v>
      </c>
      <c r="I128" s="219" t="s">
        <v>1478</v>
      </c>
      <c r="J128" s="221"/>
      <c r="K128" s="221">
        <v>0</v>
      </c>
      <c r="L128" s="191" t="s">
        <v>23</v>
      </c>
    </row>
    <row r="129" spans="1:12" ht="12.3">
      <c r="A129" s="224">
        <v>42514</v>
      </c>
      <c r="B129" s="225" t="s">
        <v>1595</v>
      </c>
      <c r="C129" s="225" t="s">
        <v>1596</v>
      </c>
      <c r="D129" s="225">
        <v>4.8</v>
      </c>
      <c r="E129" s="225">
        <v>5</v>
      </c>
      <c r="F129" s="225"/>
      <c r="G129" s="184">
        <v>3</v>
      </c>
      <c r="H129" s="237"/>
      <c r="I129" s="238" t="s">
        <v>1508</v>
      </c>
      <c r="J129" s="227"/>
      <c r="K129" s="227">
        <v>18</v>
      </c>
      <c r="L129" s="228" t="s">
        <v>23</v>
      </c>
    </row>
    <row r="130" spans="1:12" ht="12.3">
      <c r="A130" s="218">
        <v>42514</v>
      </c>
      <c r="B130" s="197" t="s">
        <v>1597</v>
      </c>
      <c r="C130" s="197" t="s">
        <v>17</v>
      </c>
      <c r="D130" s="197">
        <v>4.8</v>
      </c>
      <c r="E130" s="197">
        <v>10</v>
      </c>
      <c r="F130" s="197"/>
      <c r="G130" s="184" t="s">
        <v>23</v>
      </c>
      <c r="H130" s="195" t="s">
        <v>23</v>
      </c>
      <c r="I130" s="219">
        <v>2</v>
      </c>
      <c r="J130" s="221">
        <v>67</v>
      </c>
      <c r="K130" s="221">
        <v>0</v>
      </c>
      <c r="L130" s="191" t="s">
        <v>23</v>
      </c>
    </row>
    <row r="131" spans="1:12" ht="12.3">
      <c r="A131" s="218">
        <v>42515</v>
      </c>
      <c r="B131" s="197" t="s">
        <v>1598</v>
      </c>
      <c r="C131" s="197" t="s">
        <v>156</v>
      </c>
      <c r="D131" s="197">
        <v>5.3</v>
      </c>
      <c r="E131" s="197">
        <v>30</v>
      </c>
      <c r="F131" s="197"/>
      <c r="G131" s="184" t="s">
        <v>23</v>
      </c>
      <c r="H131" s="195" t="s">
        <v>23</v>
      </c>
      <c r="I131" s="219">
        <v>1</v>
      </c>
      <c r="J131" s="221">
        <v>1</v>
      </c>
      <c r="K131" s="221">
        <v>0</v>
      </c>
      <c r="L131" s="191" t="s">
        <v>23</v>
      </c>
    </row>
    <row r="132" spans="1:12" ht="12.3">
      <c r="A132" s="218">
        <v>42515</v>
      </c>
      <c r="B132" s="196" t="s">
        <v>1599</v>
      </c>
      <c r="C132" s="196" t="s">
        <v>1600</v>
      </c>
      <c r="D132" s="197"/>
      <c r="E132" s="197"/>
      <c r="F132" s="197"/>
      <c r="G132" s="184"/>
      <c r="H132" s="195">
        <v>2</v>
      </c>
      <c r="I132" s="219">
        <v>1</v>
      </c>
      <c r="J132" s="221"/>
      <c r="K132" s="221">
        <v>0</v>
      </c>
      <c r="L132" s="191" t="s">
        <v>23</v>
      </c>
    </row>
    <row r="133" spans="1:12" ht="12.3">
      <c r="A133" s="218">
        <v>42518</v>
      </c>
      <c r="B133" s="197" t="s">
        <v>1601</v>
      </c>
      <c r="C133" s="197" t="s">
        <v>726</v>
      </c>
      <c r="D133" s="197" t="s">
        <v>1602</v>
      </c>
      <c r="E133" s="197">
        <v>1</v>
      </c>
      <c r="F133" s="197" t="s">
        <v>134</v>
      </c>
      <c r="G133" s="184" t="s">
        <v>23</v>
      </c>
      <c r="H133" s="195" t="s">
        <v>23</v>
      </c>
      <c r="I133" s="219">
        <v>1</v>
      </c>
      <c r="J133" s="221">
        <v>3</v>
      </c>
      <c r="K133" s="221">
        <v>0</v>
      </c>
      <c r="L133" s="191" t="s">
        <v>23</v>
      </c>
    </row>
    <row r="134" spans="1:12" ht="12.3">
      <c r="A134" s="218">
        <v>42518</v>
      </c>
      <c r="B134" s="197" t="s">
        <v>1603</v>
      </c>
      <c r="C134" s="197" t="s">
        <v>24</v>
      </c>
      <c r="D134" s="197">
        <v>3.4</v>
      </c>
      <c r="E134" s="197"/>
      <c r="F134" s="197"/>
      <c r="G134" s="184" t="s">
        <v>23</v>
      </c>
      <c r="H134" s="195" t="s">
        <v>23</v>
      </c>
      <c r="I134" s="219" t="s">
        <v>1478</v>
      </c>
      <c r="J134" s="221"/>
      <c r="K134" s="221">
        <v>0</v>
      </c>
      <c r="L134" s="191" t="s">
        <v>23</v>
      </c>
    </row>
    <row r="135" spans="1:12" ht="12.3">
      <c r="A135" s="218">
        <v>42518</v>
      </c>
      <c r="B135" s="196" t="s">
        <v>1562</v>
      </c>
      <c r="C135" s="196" t="s">
        <v>118</v>
      </c>
      <c r="D135" s="197">
        <v>5.3</v>
      </c>
      <c r="E135" s="197">
        <v>8</v>
      </c>
      <c r="F135" s="197"/>
      <c r="G135" s="184" t="s">
        <v>23</v>
      </c>
      <c r="H135" s="195">
        <v>88</v>
      </c>
      <c r="I135" s="219">
        <v>3</v>
      </c>
      <c r="J135" s="221">
        <v>3740</v>
      </c>
      <c r="K135" s="221"/>
      <c r="L135" s="191" t="s">
        <v>23</v>
      </c>
    </row>
    <row r="136" spans="1:12" ht="12.3">
      <c r="A136" s="218">
        <v>42518</v>
      </c>
      <c r="B136" s="197" t="s">
        <v>1604</v>
      </c>
      <c r="C136" s="197" t="s">
        <v>661</v>
      </c>
      <c r="D136" s="197">
        <v>5.0999999999999996</v>
      </c>
      <c r="E136" s="197"/>
      <c r="F136" s="197"/>
      <c r="G136" s="184" t="s">
        <v>23</v>
      </c>
      <c r="H136" s="195" t="s">
        <v>23</v>
      </c>
      <c r="I136" s="219">
        <v>1</v>
      </c>
      <c r="J136" s="221">
        <v>1</v>
      </c>
      <c r="K136" s="221">
        <v>0</v>
      </c>
      <c r="L136" s="191" t="s">
        <v>23</v>
      </c>
    </row>
    <row r="137" spans="1:12" ht="12.3">
      <c r="A137" s="218">
        <v>42520</v>
      </c>
      <c r="B137" s="197" t="s">
        <v>1605</v>
      </c>
      <c r="C137" s="197" t="s">
        <v>199</v>
      </c>
      <c r="D137" s="197">
        <v>4.0999999999999996</v>
      </c>
      <c r="E137" s="197">
        <v>15</v>
      </c>
      <c r="F137" s="197"/>
      <c r="G137" s="184" t="s">
        <v>23</v>
      </c>
      <c r="H137" s="195" t="s">
        <v>23</v>
      </c>
      <c r="I137" s="219">
        <v>1</v>
      </c>
      <c r="J137" s="221"/>
      <c r="K137" s="221">
        <v>0</v>
      </c>
      <c r="L137" s="191" t="s">
        <v>23</v>
      </c>
    </row>
    <row r="138" spans="1:12" ht="12.3">
      <c r="A138" s="224">
        <v>42522</v>
      </c>
      <c r="B138" s="225" t="s">
        <v>1606</v>
      </c>
      <c r="C138" s="225" t="s">
        <v>44</v>
      </c>
      <c r="D138" s="225">
        <v>6.5</v>
      </c>
      <c r="E138" s="225">
        <v>65</v>
      </c>
      <c r="F138" s="225" t="s">
        <v>35</v>
      </c>
      <c r="G138" s="184">
        <v>1</v>
      </c>
      <c r="H138" s="237">
        <v>18</v>
      </c>
      <c r="I138" s="238">
        <v>4</v>
      </c>
      <c r="J138" s="227">
        <v>2663</v>
      </c>
      <c r="K138" s="227">
        <v>114</v>
      </c>
      <c r="L138" s="228" t="s">
        <v>23</v>
      </c>
    </row>
    <row r="139" spans="1:12" ht="12.3">
      <c r="A139" s="218">
        <v>42524</v>
      </c>
      <c r="B139" s="197" t="s">
        <v>1607</v>
      </c>
      <c r="C139" s="197" t="s">
        <v>67</v>
      </c>
      <c r="D139" s="197" t="s">
        <v>1608</v>
      </c>
      <c r="E139" s="197">
        <v>0.7</v>
      </c>
      <c r="F139" s="197"/>
      <c r="G139" s="184" t="s">
        <v>23</v>
      </c>
      <c r="H139" s="195" t="s">
        <v>23</v>
      </c>
      <c r="I139" s="219">
        <v>1</v>
      </c>
      <c r="J139" s="221">
        <v>1</v>
      </c>
      <c r="K139" s="221">
        <v>0</v>
      </c>
      <c r="L139" s="191" t="s">
        <v>23</v>
      </c>
    </row>
    <row r="140" spans="1:12" ht="12.3">
      <c r="A140" s="253">
        <v>42528</v>
      </c>
      <c r="B140" s="196" t="s">
        <v>1609</v>
      </c>
      <c r="C140" s="196" t="s">
        <v>44</v>
      </c>
      <c r="D140" s="196">
        <v>6.5</v>
      </c>
      <c r="E140" s="197"/>
      <c r="F140" s="197"/>
      <c r="G140" s="184" t="s">
        <v>23</v>
      </c>
      <c r="H140" s="195" t="s">
        <v>23</v>
      </c>
      <c r="I140" s="219" t="s">
        <v>1511</v>
      </c>
      <c r="J140" s="221">
        <v>35</v>
      </c>
      <c r="K140" s="221"/>
      <c r="L140" s="191" t="s">
        <v>23</v>
      </c>
    </row>
    <row r="141" spans="1:12" ht="12.3">
      <c r="A141" s="253">
        <v>42528</v>
      </c>
      <c r="B141" s="197" t="s">
        <v>1610</v>
      </c>
      <c r="C141" s="197" t="s">
        <v>17</v>
      </c>
      <c r="D141" s="234">
        <v>4</v>
      </c>
      <c r="E141" s="197">
        <v>12</v>
      </c>
      <c r="F141" s="197"/>
      <c r="G141" s="184" t="s">
        <v>23</v>
      </c>
      <c r="H141" s="195" t="s">
        <v>23</v>
      </c>
      <c r="I141" s="219" t="s">
        <v>1478</v>
      </c>
      <c r="J141" s="221"/>
      <c r="K141" s="221">
        <v>0</v>
      </c>
      <c r="L141" s="191" t="s">
        <v>23</v>
      </c>
    </row>
    <row r="142" spans="1:12" ht="12.3">
      <c r="A142" s="253">
        <v>42529</v>
      </c>
      <c r="B142" s="197" t="s">
        <v>1611</v>
      </c>
      <c r="C142" s="197" t="s">
        <v>44</v>
      </c>
      <c r="D142" s="246">
        <v>6.2</v>
      </c>
      <c r="E142" s="197"/>
      <c r="F142" s="197" t="s">
        <v>790</v>
      </c>
      <c r="G142" s="184" t="s">
        <v>23</v>
      </c>
      <c r="H142" s="195" t="s">
        <v>23</v>
      </c>
      <c r="I142" s="219">
        <v>1</v>
      </c>
      <c r="J142" s="221"/>
      <c r="K142" s="221">
        <v>0</v>
      </c>
      <c r="L142" s="191" t="s">
        <v>23</v>
      </c>
    </row>
    <row r="143" spans="1:12" ht="12.3">
      <c r="A143" s="253">
        <v>42530</v>
      </c>
      <c r="B143" s="197" t="s">
        <v>1612</v>
      </c>
      <c r="C143" s="197" t="s">
        <v>62</v>
      </c>
      <c r="D143" s="234">
        <v>5.2</v>
      </c>
      <c r="E143" s="197">
        <v>5</v>
      </c>
      <c r="F143" s="197" t="s">
        <v>365</v>
      </c>
      <c r="G143" s="184" t="s">
        <v>23</v>
      </c>
      <c r="H143" s="195" t="s">
        <v>23</v>
      </c>
      <c r="I143" s="219">
        <v>1</v>
      </c>
      <c r="J143" s="221">
        <v>2</v>
      </c>
      <c r="K143" s="221">
        <v>0</v>
      </c>
      <c r="L143" s="191" t="s">
        <v>23</v>
      </c>
    </row>
    <row r="144" spans="1:12" ht="12.3">
      <c r="A144" s="253">
        <v>42531</v>
      </c>
      <c r="B144" s="196" t="s">
        <v>1613</v>
      </c>
      <c r="C144" s="196" t="s">
        <v>604</v>
      </c>
      <c r="D144" s="196">
        <v>5.9</v>
      </c>
      <c r="E144" s="197">
        <v>3</v>
      </c>
      <c r="F144" s="197" t="s">
        <v>123</v>
      </c>
      <c r="G144" s="184" t="s">
        <v>23</v>
      </c>
      <c r="H144" s="195">
        <v>1</v>
      </c>
      <c r="I144" s="219">
        <v>3</v>
      </c>
      <c r="J144" s="221">
        <v>286</v>
      </c>
      <c r="K144" s="221">
        <v>16</v>
      </c>
      <c r="L144" s="191" t="s">
        <v>23</v>
      </c>
    </row>
    <row r="145" spans="1:12" ht="12.3">
      <c r="A145" s="253">
        <v>42531</v>
      </c>
      <c r="B145" s="197" t="s">
        <v>1614</v>
      </c>
      <c r="C145" s="197" t="s">
        <v>105</v>
      </c>
      <c r="D145" s="197">
        <v>4.4000000000000004</v>
      </c>
      <c r="E145" s="197">
        <v>5</v>
      </c>
      <c r="F145" s="197"/>
      <c r="G145" s="184" t="s">
        <v>23</v>
      </c>
      <c r="H145" s="195" t="s">
        <v>23</v>
      </c>
      <c r="I145" s="219">
        <v>1</v>
      </c>
      <c r="J145" s="221">
        <v>10</v>
      </c>
      <c r="K145" s="221">
        <v>0</v>
      </c>
      <c r="L145" s="191" t="s">
        <v>23</v>
      </c>
    </row>
    <row r="146" spans="1:12" ht="12.3">
      <c r="A146" s="253">
        <v>42536</v>
      </c>
      <c r="B146" s="197" t="s">
        <v>1615</v>
      </c>
      <c r="C146" s="197" t="s">
        <v>403</v>
      </c>
      <c r="D146" s="197">
        <v>5.2</v>
      </c>
      <c r="E146" s="197">
        <v>26</v>
      </c>
      <c r="F146" s="197"/>
      <c r="G146" s="184" t="s">
        <v>23</v>
      </c>
      <c r="H146" s="195" t="s">
        <v>23</v>
      </c>
      <c r="I146" s="219">
        <v>1</v>
      </c>
      <c r="J146" s="221">
        <v>0</v>
      </c>
      <c r="K146" s="221">
        <v>1</v>
      </c>
      <c r="L146" s="191" t="s">
        <v>23</v>
      </c>
    </row>
    <row r="147" spans="1:12" ht="12.3">
      <c r="A147" s="253">
        <v>42537</v>
      </c>
      <c r="B147" s="197" t="s">
        <v>1502</v>
      </c>
      <c r="C147" s="197" t="s">
        <v>258</v>
      </c>
      <c r="D147" s="197">
        <v>5.3</v>
      </c>
      <c r="E147" s="197">
        <v>11</v>
      </c>
      <c r="F147" s="197" t="s">
        <v>454</v>
      </c>
      <c r="G147" s="184" t="s">
        <v>23</v>
      </c>
      <c r="H147" s="195">
        <v>1</v>
      </c>
      <c r="I147" s="219">
        <v>1</v>
      </c>
      <c r="J147" s="221">
        <v>3</v>
      </c>
      <c r="K147" s="221">
        <v>0</v>
      </c>
      <c r="L147" s="191" t="s">
        <v>23</v>
      </c>
    </row>
    <row r="148" spans="1:12" ht="12.3">
      <c r="A148" s="253">
        <v>42542</v>
      </c>
      <c r="B148" s="197" t="s">
        <v>1616</v>
      </c>
      <c r="C148" s="197" t="s">
        <v>72</v>
      </c>
      <c r="D148" s="197">
        <v>4.5</v>
      </c>
      <c r="E148" s="197">
        <v>11</v>
      </c>
      <c r="F148" s="197" t="s">
        <v>790</v>
      </c>
      <c r="G148" s="184" t="s">
        <v>23</v>
      </c>
      <c r="H148" s="195">
        <v>1</v>
      </c>
      <c r="I148" s="219" t="s">
        <v>23</v>
      </c>
      <c r="J148" s="221">
        <v>0</v>
      </c>
      <c r="K148" s="221">
        <v>0</v>
      </c>
      <c r="L148" s="191" t="s">
        <v>23</v>
      </c>
    </row>
    <row r="149" spans="1:12" ht="12.3">
      <c r="A149" s="253">
        <v>42543</v>
      </c>
      <c r="B149" s="197" t="s">
        <v>1617</v>
      </c>
      <c r="C149" s="197" t="s">
        <v>17</v>
      </c>
      <c r="D149" s="197">
        <v>4.5</v>
      </c>
      <c r="E149" s="197">
        <v>4</v>
      </c>
      <c r="F149" s="197"/>
      <c r="G149" s="184" t="s">
        <v>23</v>
      </c>
      <c r="H149" s="195" t="s">
        <v>23</v>
      </c>
      <c r="I149" s="219">
        <v>1</v>
      </c>
      <c r="J149" s="221"/>
      <c r="K149" s="221">
        <v>0</v>
      </c>
      <c r="L149" s="191" t="s">
        <v>23</v>
      </c>
    </row>
    <row r="150" spans="1:12" ht="12.3">
      <c r="A150" s="253">
        <v>42544</v>
      </c>
      <c r="B150" s="197" t="s">
        <v>1618</v>
      </c>
      <c r="C150" s="197" t="s">
        <v>199</v>
      </c>
      <c r="D150" s="234">
        <v>4</v>
      </c>
      <c r="E150" s="197"/>
      <c r="F150" s="197"/>
      <c r="G150" s="184" t="s">
        <v>23</v>
      </c>
      <c r="H150" s="195" t="s">
        <v>23</v>
      </c>
      <c r="I150" s="219">
        <v>1</v>
      </c>
      <c r="J150" s="221"/>
      <c r="K150" s="221">
        <v>0</v>
      </c>
      <c r="L150" s="191" t="s">
        <v>23</v>
      </c>
    </row>
    <row r="151" spans="1:12" ht="12.3">
      <c r="A151" s="253">
        <v>42545</v>
      </c>
      <c r="B151" s="197" t="s">
        <v>1619</v>
      </c>
      <c r="C151" s="197" t="s">
        <v>44</v>
      </c>
      <c r="D151" s="197">
        <v>5.0999999999999996</v>
      </c>
      <c r="E151" s="197"/>
      <c r="F151" s="197" t="s">
        <v>35</v>
      </c>
      <c r="G151" s="184" t="s">
        <v>23</v>
      </c>
      <c r="H151" s="195" t="s">
        <v>23</v>
      </c>
      <c r="I151" s="219" t="s">
        <v>1478</v>
      </c>
      <c r="J151" s="221"/>
      <c r="K151" s="221">
        <v>0</v>
      </c>
      <c r="L151" s="191" t="s">
        <v>23</v>
      </c>
    </row>
    <row r="152" spans="1:12" ht="12.3">
      <c r="A152" s="253">
        <v>42547</v>
      </c>
      <c r="B152" s="197" t="s">
        <v>1620</v>
      </c>
      <c r="C152" s="197" t="s">
        <v>760</v>
      </c>
      <c r="D152" s="196">
        <v>6.1</v>
      </c>
      <c r="E152" s="197">
        <v>19</v>
      </c>
      <c r="F152" s="197" t="s">
        <v>123</v>
      </c>
      <c r="G152" s="184" t="s">
        <v>23</v>
      </c>
      <c r="H152" s="195"/>
      <c r="I152" s="219">
        <v>1</v>
      </c>
      <c r="J152" s="221">
        <v>6</v>
      </c>
      <c r="K152" s="221">
        <v>0</v>
      </c>
      <c r="L152" s="191" t="s">
        <v>23</v>
      </c>
    </row>
    <row r="153" spans="1:12" ht="12.3">
      <c r="A153" s="253">
        <v>42548</v>
      </c>
      <c r="B153" s="197" t="s">
        <v>1579</v>
      </c>
      <c r="C153" s="197" t="s">
        <v>33</v>
      </c>
      <c r="D153" s="196">
        <v>5.7</v>
      </c>
      <c r="E153" s="197">
        <v>20</v>
      </c>
      <c r="F153" s="197" t="s">
        <v>35</v>
      </c>
      <c r="G153" s="184" t="s">
        <v>23</v>
      </c>
      <c r="H153" s="195" t="s">
        <v>23</v>
      </c>
      <c r="I153" s="219">
        <v>1</v>
      </c>
      <c r="J153" s="221">
        <v>6</v>
      </c>
      <c r="K153" s="221">
        <v>0</v>
      </c>
      <c r="L153" s="191" t="s">
        <v>23</v>
      </c>
    </row>
    <row r="154" spans="1:12" ht="12.3">
      <c r="A154" s="253">
        <v>42550</v>
      </c>
      <c r="B154" s="196" t="s">
        <v>1621</v>
      </c>
      <c r="C154" s="196" t="s">
        <v>1001</v>
      </c>
      <c r="D154" s="234">
        <v>5</v>
      </c>
      <c r="E154" s="197"/>
      <c r="F154" s="197"/>
      <c r="G154" s="184" t="s">
        <v>23</v>
      </c>
      <c r="H154" s="195"/>
      <c r="I154" s="219">
        <v>3</v>
      </c>
      <c r="J154" s="221"/>
      <c r="K154" s="221">
        <v>1</v>
      </c>
      <c r="L154" s="191" t="s">
        <v>23</v>
      </c>
    </row>
    <row r="155" spans="1:12" ht="12.3">
      <c r="A155" s="253">
        <v>42551</v>
      </c>
      <c r="B155" s="197" t="s">
        <v>1597</v>
      </c>
      <c r="C155" s="197" t="s">
        <v>17</v>
      </c>
      <c r="D155" s="234">
        <v>5</v>
      </c>
      <c r="E155" s="197"/>
      <c r="F155" s="197"/>
      <c r="G155" s="184" t="s">
        <v>23</v>
      </c>
      <c r="H155" s="195"/>
      <c r="I155" s="219" t="s">
        <v>1511</v>
      </c>
      <c r="J155" s="221"/>
      <c r="K155" s="221"/>
      <c r="L155" s="191" t="s">
        <v>23</v>
      </c>
    </row>
    <row r="156" spans="1:12" ht="12.3">
      <c r="A156" s="253">
        <v>42551</v>
      </c>
      <c r="B156" s="197" t="s">
        <v>1622</v>
      </c>
      <c r="C156" s="197" t="s">
        <v>33</v>
      </c>
      <c r="D156" s="234">
        <v>4</v>
      </c>
      <c r="E156" s="197">
        <v>20</v>
      </c>
      <c r="F156" s="197"/>
      <c r="G156" s="184" t="s">
        <v>23</v>
      </c>
      <c r="H156" s="195" t="s">
        <v>23</v>
      </c>
      <c r="I156" s="219">
        <v>1</v>
      </c>
      <c r="J156" s="221">
        <v>3</v>
      </c>
      <c r="K156" s="221">
        <v>0</v>
      </c>
      <c r="L156" s="191" t="s">
        <v>23</v>
      </c>
    </row>
    <row r="157" spans="1:12" ht="12.3">
      <c r="A157" s="253">
        <v>42552</v>
      </c>
      <c r="B157" s="196" t="s">
        <v>1623</v>
      </c>
      <c r="C157" s="196" t="s">
        <v>1060</v>
      </c>
      <c r="D157" s="197">
        <v>5.4</v>
      </c>
      <c r="E157" s="197"/>
      <c r="F157" s="197" t="s">
        <v>35</v>
      </c>
      <c r="G157" s="184"/>
      <c r="H157" s="195"/>
      <c r="I157" s="219" t="s">
        <v>1508</v>
      </c>
      <c r="J157" s="221">
        <v>30</v>
      </c>
      <c r="K157" s="221">
        <v>15</v>
      </c>
      <c r="L157" s="191" t="s">
        <v>23</v>
      </c>
    </row>
    <row r="158" spans="1:12" ht="12.3">
      <c r="A158" s="253">
        <v>42553</v>
      </c>
      <c r="B158" s="197" t="s">
        <v>1624</v>
      </c>
      <c r="C158" s="197" t="s">
        <v>1001</v>
      </c>
      <c r="D158" s="197">
        <v>4.4000000000000004</v>
      </c>
      <c r="E158" s="197"/>
      <c r="F158" s="197"/>
      <c r="G158" s="184" t="s">
        <v>23</v>
      </c>
      <c r="H158" s="195" t="s">
        <v>23</v>
      </c>
      <c r="I158" s="219">
        <v>1</v>
      </c>
      <c r="J158" s="221">
        <v>3</v>
      </c>
      <c r="K158" s="221">
        <v>0</v>
      </c>
      <c r="L158" s="191" t="s">
        <v>23</v>
      </c>
    </row>
    <row r="159" spans="1:12" ht="12.3">
      <c r="A159" s="253">
        <v>42554</v>
      </c>
      <c r="B159" s="196" t="s">
        <v>1625</v>
      </c>
      <c r="C159" s="196" t="s">
        <v>241</v>
      </c>
      <c r="D159" s="197">
        <v>5.4</v>
      </c>
      <c r="E159" s="197">
        <v>20</v>
      </c>
      <c r="F159" s="197" t="s">
        <v>35</v>
      </c>
      <c r="G159" s="184" t="s">
        <v>23</v>
      </c>
      <c r="H159" s="195" t="s">
        <v>23</v>
      </c>
      <c r="I159" s="219">
        <v>3</v>
      </c>
      <c r="J159" s="221"/>
      <c r="K159" s="221">
        <v>6</v>
      </c>
      <c r="L159" s="191" t="s">
        <v>23</v>
      </c>
    </row>
    <row r="160" spans="1:12" ht="12.3">
      <c r="A160" s="253">
        <v>42556</v>
      </c>
      <c r="B160" s="197" t="s">
        <v>1626</v>
      </c>
      <c r="C160" s="197" t="s">
        <v>1122</v>
      </c>
      <c r="D160" s="234">
        <v>5</v>
      </c>
      <c r="E160" s="197"/>
      <c r="F160" s="197"/>
      <c r="G160" s="184" t="s">
        <v>23</v>
      </c>
      <c r="H160" s="195" t="s">
        <v>23</v>
      </c>
      <c r="I160" s="219">
        <v>1</v>
      </c>
      <c r="J160" s="221">
        <v>1</v>
      </c>
      <c r="K160" s="221">
        <v>0</v>
      </c>
      <c r="L160" s="191" t="s">
        <v>23</v>
      </c>
    </row>
    <row r="161" spans="1:12" ht="12.3">
      <c r="A161" s="253">
        <v>42557</v>
      </c>
      <c r="B161" s="197" t="s">
        <v>1556</v>
      </c>
      <c r="C161" s="197" t="s">
        <v>17</v>
      </c>
      <c r="D161" s="197">
        <v>4.4000000000000004</v>
      </c>
      <c r="E161" s="197"/>
      <c r="F161" s="197"/>
      <c r="G161" s="184" t="s">
        <v>23</v>
      </c>
      <c r="H161" s="195" t="s">
        <v>23</v>
      </c>
      <c r="I161" s="219" t="s">
        <v>1478</v>
      </c>
      <c r="J161" s="221"/>
      <c r="K161" s="221">
        <v>0</v>
      </c>
      <c r="L161" s="191" t="s">
        <v>23</v>
      </c>
    </row>
    <row r="162" spans="1:12" ht="12.3">
      <c r="A162" s="253">
        <v>42561</v>
      </c>
      <c r="B162" s="196" t="s">
        <v>1627</v>
      </c>
      <c r="C162" s="196" t="s">
        <v>1582</v>
      </c>
      <c r="D162" s="197" t="s">
        <v>1628</v>
      </c>
      <c r="E162" s="197"/>
      <c r="F162" s="197"/>
      <c r="G162" s="184" t="s">
        <v>23</v>
      </c>
      <c r="H162" s="195" t="s">
        <v>23</v>
      </c>
      <c r="I162" s="219">
        <v>2</v>
      </c>
      <c r="J162" s="221"/>
      <c r="K162" s="221">
        <v>0</v>
      </c>
      <c r="L162" s="191" t="s">
        <v>23</v>
      </c>
    </row>
    <row r="163" spans="1:12" ht="12.3">
      <c r="A163" s="254">
        <v>42561</v>
      </c>
      <c r="B163" s="225" t="s">
        <v>1629</v>
      </c>
      <c r="C163" s="225" t="s">
        <v>44</v>
      </c>
      <c r="D163" s="225">
        <v>5.4</v>
      </c>
      <c r="E163" s="225"/>
      <c r="F163" s="225"/>
      <c r="G163" s="184">
        <v>1</v>
      </c>
      <c r="H163" s="237" t="s">
        <v>23</v>
      </c>
      <c r="I163" s="238">
        <v>1</v>
      </c>
      <c r="J163" s="227"/>
      <c r="K163" s="227">
        <v>0</v>
      </c>
      <c r="L163" s="228" t="s">
        <v>23</v>
      </c>
    </row>
    <row r="164" spans="1:12" ht="12.3">
      <c r="A164" s="254">
        <v>42562</v>
      </c>
      <c r="B164" s="225" t="s">
        <v>1473</v>
      </c>
      <c r="C164" s="225" t="s">
        <v>29</v>
      </c>
      <c r="D164" s="225">
        <v>6.2</v>
      </c>
      <c r="E164" s="225"/>
      <c r="F164" s="225"/>
      <c r="G164" s="184">
        <v>1</v>
      </c>
      <c r="H164" s="237">
        <v>2</v>
      </c>
      <c r="I164" s="238" t="s">
        <v>1478</v>
      </c>
      <c r="J164" s="227"/>
      <c r="K164" s="227"/>
      <c r="L164" s="228" t="s">
        <v>23</v>
      </c>
    </row>
    <row r="165" spans="1:12" ht="12.3">
      <c r="A165" s="253">
        <v>42563</v>
      </c>
      <c r="B165" s="197" t="s">
        <v>1630</v>
      </c>
      <c r="C165" s="197" t="s">
        <v>1280</v>
      </c>
      <c r="D165" s="197">
        <v>4.7</v>
      </c>
      <c r="E165" s="197"/>
      <c r="F165" s="197" t="s">
        <v>35</v>
      </c>
      <c r="G165" s="184"/>
      <c r="H165" s="195"/>
      <c r="I165" s="219">
        <v>2</v>
      </c>
      <c r="J165" s="221"/>
      <c r="K165" s="221"/>
      <c r="L165" s="191" t="s">
        <v>23</v>
      </c>
    </row>
    <row r="166" spans="1:12" ht="12.3">
      <c r="A166" s="253">
        <v>42564</v>
      </c>
      <c r="B166" s="196" t="s">
        <v>1631</v>
      </c>
      <c r="C166" s="196" t="s">
        <v>262</v>
      </c>
      <c r="D166" s="197">
        <v>5.0999999999999996</v>
      </c>
      <c r="E166" s="197"/>
      <c r="F166" s="197"/>
      <c r="G166" s="184" t="s">
        <v>23</v>
      </c>
      <c r="H166" s="195" t="s">
        <v>23</v>
      </c>
      <c r="I166" s="219" t="s">
        <v>1508</v>
      </c>
      <c r="J166" s="221"/>
      <c r="K166" s="221">
        <v>60</v>
      </c>
      <c r="L166" s="191" t="s">
        <v>23</v>
      </c>
    </row>
    <row r="167" spans="1:12" ht="12.3">
      <c r="A167" s="254">
        <v>42566</v>
      </c>
      <c r="B167" s="225" t="s">
        <v>1632</v>
      </c>
      <c r="C167" s="225" t="s">
        <v>346</v>
      </c>
      <c r="D167" s="225">
        <v>4.0999999999999996</v>
      </c>
      <c r="E167" s="225">
        <v>3</v>
      </c>
      <c r="F167" s="225"/>
      <c r="G167" s="184">
        <v>1</v>
      </c>
      <c r="H167" s="237" t="s">
        <v>23</v>
      </c>
      <c r="I167" s="238" t="s">
        <v>1478</v>
      </c>
      <c r="J167" s="227"/>
      <c r="K167" s="227">
        <v>0</v>
      </c>
      <c r="L167" s="228" t="s">
        <v>23</v>
      </c>
    </row>
    <row r="168" spans="1:12" ht="12.3">
      <c r="A168" s="253">
        <v>42568</v>
      </c>
      <c r="B168" s="197" t="s">
        <v>1633</v>
      </c>
      <c r="C168" s="197" t="s">
        <v>24</v>
      </c>
      <c r="D168" s="197">
        <v>4.5</v>
      </c>
      <c r="E168" s="197"/>
      <c r="F168" s="197"/>
      <c r="G168" s="184" t="s">
        <v>23</v>
      </c>
      <c r="H168" s="195">
        <v>1</v>
      </c>
      <c r="I168" s="219"/>
      <c r="J168" s="221"/>
      <c r="K168" s="221"/>
      <c r="L168" s="191" t="s">
        <v>23</v>
      </c>
    </row>
    <row r="169" spans="1:12" ht="12.3">
      <c r="A169" s="253">
        <v>42568</v>
      </c>
      <c r="B169" s="196" t="s">
        <v>1634</v>
      </c>
      <c r="C169" s="196" t="s">
        <v>216</v>
      </c>
      <c r="D169" s="197">
        <v>4.4000000000000004</v>
      </c>
      <c r="E169" s="197"/>
      <c r="F169" s="197"/>
      <c r="G169" s="184" t="s">
        <v>23</v>
      </c>
      <c r="H169" s="195">
        <v>3</v>
      </c>
      <c r="I169" s="219">
        <v>2</v>
      </c>
      <c r="J169" s="221"/>
      <c r="K169" s="221"/>
      <c r="L169" s="191" t="s">
        <v>23</v>
      </c>
    </row>
    <row r="170" spans="1:12" ht="12.3">
      <c r="A170" s="253">
        <v>42576</v>
      </c>
      <c r="B170" s="197" t="s">
        <v>1635</v>
      </c>
      <c r="C170" s="197" t="s">
        <v>915</v>
      </c>
      <c r="D170" s="197">
        <v>3.5</v>
      </c>
      <c r="E170" s="197">
        <v>10</v>
      </c>
      <c r="F170" s="197" t="s">
        <v>684</v>
      </c>
      <c r="G170" s="184" t="s">
        <v>23</v>
      </c>
      <c r="H170" s="195" t="s">
        <v>23</v>
      </c>
      <c r="I170" s="219">
        <v>1</v>
      </c>
      <c r="J170" s="221">
        <v>2</v>
      </c>
      <c r="K170" s="221">
        <v>0</v>
      </c>
      <c r="L170" s="191" t="s">
        <v>23</v>
      </c>
    </row>
    <row r="171" spans="1:12" ht="12.3">
      <c r="A171" s="253">
        <v>42576</v>
      </c>
      <c r="B171" s="197" t="s">
        <v>1636</v>
      </c>
      <c r="C171" s="197" t="s">
        <v>359</v>
      </c>
      <c r="D171" s="196">
        <v>6.1</v>
      </c>
      <c r="E171" s="197">
        <v>77</v>
      </c>
      <c r="F171" s="197" t="s">
        <v>123</v>
      </c>
      <c r="G171" s="184" t="s">
        <v>23</v>
      </c>
      <c r="H171" s="195" t="s">
        <v>23</v>
      </c>
      <c r="I171" s="219">
        <v>1</v>
      </c>
      <c r="J171" s="221"/>
      <c r="K171" s="221">
        <v>0</v>
      </c>
      <c r="L171" s="191" t="s">
        <v>23</v>
      </c>
    </row>
    <row r="172" spans="1:12" ht="12.3">
      <c r="A172" s="253">
        <v>42577</v>
      </c>
      <c r="B172" s="196" t="s">
        <v>1637</v>
      </c>
      <c r="C172" s="196" t="s">
        <v>62</v>
      </c>
      <c r="D172" s="197">
        <v>5.2</v>
      </c>
      <c r="E172" s="197">
        <v>9</v>
      </c>
      <c r="F172" s="197" t="s">
        <v>35</v>
      </c>
      <c r="G172" s="184" t="s">
        <v>23</v>
      </c>
      <c r="H172" s="195">
        <v>8</v>
      </c>
      <c r="I172" s="219">
        <v>2</v>
      </c>
      <c r="J172" s="221"/>
      <c r="K172" s="221"/>
      <c r="L172" s="191" t="s">
        <v>23</v>
      </c>
    </row>
    <row r="173" spans="1:12" ht="12.3">
      <c r="A173" s="253">
        <v>42578</v>
      </c>
      <c r="B173" s="197" t="s">
        <v>1638</v>
      </c>
      <c r="C173" s="197" t="s">
        <v>62</v>
      </c>
      <c r="D173" s="197">
        <v>5.2</v>
      </c>
      <c r="E173" s="197">
        <v>5</v>
      </c>
      <c r="F173" s="197" t="s">
        <v>35</v>
      </c>
      <c r="G173" s="184" t="s">
        <v>23</v>
      </c>
      <c r="H173" s="195"/>
      <c r="I173" s="219">
        <v>1</v>
      </c>
      <c r="J173" s="221"/>
      <c r="K173" s="221">
        <v>0</v>
      </c>
      <c r="L173" s="191" t="s">
        <v>23</v>
      </c>
    </row>
    <row r="174" spans="1:12" ht="12.3">
      <c r="A174" s="253">
        <v>42580</v>
      </c>
      <c r="B174" s="197" t="s">
        <v>1639</v>
      </c>
      <c r="C174" s="197"/>
      <c r="D174" s="196">
        <v>7.7</v>
      </c>
      <c r="E174" s="197">
        <v>212</v>
      </c>
      <c r="F174" s="197" t="s">
        <v>35</v>
      </c>
      <c r="G174" s="184" t="s">
        <v>23</v>
      </c>
      <c r="H174" s="195" t="s">
        <v>23</v>
      </c>
      <c r="I174" s="219" t="s">
        <v>23</v>
      </c>
      <c r="J174" s="221">
        <v>0</v>
      </c>
      <c r="K174" s="221">
        <v>0</v>
      </c>
      <c r="L174" s="191" t="s">
        <v>1640</v>
      </c>
    </row>
    <row r="175" spans="1:12" ht="12.3">
      <c r="A175" s="253">
        <v>42581</v>
      </c>
      <c r="B175" s="197" t="s">
        <v>1641</v>
      </c>
      <c r="C175" s="197" t="s">
        <v>199</v>
      </c>
      <c r="D175" s="197">
        <v>3.9</v>
      </c>
      <c r="E175" s="197"/>
      <c r="F175" s="197"/>
      <c r="G175" s="184" t="s">
        <v>23</v>
      </c>
      <c r="H175" s="195" t="s">
        <v>23</v>
      </c>
      <c r="I175" s="219">
        <v>1</v>
      </c>
      <c r="J175" s="221"/>
      <c r="K175" s="221">
        <v>0</v>
      </c>
      <c r="L175" s="191" t="s">
        <v>23</v>
      </c>
    </row>
    <row r="176" spans="1:12" ht="12.3">
      <c r="A176" s="253">
        <v>42581</v>
      </c>
      <c r="B176" s="196" t="s">
        <v>1581</v>
      </c>
      <c r="C176" s="196" t="s">
        <v>1582</v>
      </c>
      <c r="D176" s="197"/>
      <c r="E176" s="197"/>
      <c r="F176" s="197"/>
      <c r="G176" s="184" t="s">
        <v>23</v>
      </c>
      <c r="H176" s="195">
        <v>10</v>
      </c>
      <c r="I176" s="219">
        <v>3</v>
      </c>
      <c r="J176" s="221"/>
      <c r="K176" s="221"/>
      <c r="L176" s="191" t="s">
        <v>23</v>
      </c>
    </row>
    <row r="177" spans="1:12" ht="12.3">
      <c r="A177" s="253">
        <v>42582</v>
      </c>
      <c r="B177" s="196" t="s">
        <v>1546</v>
      </c>
      <c r="C177" s="196" t="s">
        <v>83</v>
      </c>
      <c r="D177" s="197">
        <v>5.4</v>
      </c>
      <c r="E177" s="197">
        <v>10</v>
      </c>
      <c r="F177" s="197" t="s">
        <v>35</v>
      </c>
      <c r="G177" s="184" t="s">
        <v>23</v>
      </c>
      <c r="H177" s="195" t="s">
        <v>23</v>
      </c>
      <c r="I177" s="219">
        <v>3</v>
      </c>
      <c r="J177" s="221">
        <v>201</v>
      </c>
      <c r="K177" s="221">
        <v>6</v>
      </c>
      <c r="L177" s="191" t="s">
        <v>23</v>
      </c>
    </row>
    <row r="178" spans="1:12" ht="12.3">
      <c r="A178" s="253">
        <v>42582</v>
      </c>
      <c r="B178" s="196" t="s">
        <v>1557</v>
      </c>
      <c r="C178" s="196" t="s">
        <v>44</v>
      </c>
      <c r="D178" s="196">
        <v>5.7</v>
      </c>
      <c r="E178" s="197">
        <v>22</v>
      </c>
      <c r="F178" s="197"/>
      <c r="G178" s="184" t="s">
        <v>23</v>
      </c>
      <c r="H178" s="195">
        <v>4</v>
      </c>
      <c r="I178" s="219" t="s">
        <v>1508</v>
      </c>
      <c r="J178" s="221">
        <v>1351</v>
      </c>
      <c r="K178" s="221">
        <v>97</v>
      </c>
      <c r="L178" s="191" t="s">
        <v>23</v>
      </c>
    </row>
    <row r="179" spans="1:12" ht="12.3">
      <c r="A179" s="254">
        <v>42583</v>
      </c>
      <c r="B179" s="225" t="s">
        <v>1642</v>
      </c>
      <c r="C179" s="225" t="s">
        <v>419</v>
      </c>
      <c r="D179" s="225">
        <v>5.6</v>
      </c>
      <c r="E179" s="225">
        <v>22</v>
      </c>
      <c r="F179" s="225" t="s">
        <v>134</v>
      </c>
      <c r="G179" s="184">
        <v>1</v>
      </c>
      <c r="H179" s="237">
        <v>3</v>
      </c>
      <c r="I179" s="238" t="s">
        <v>1508</v>
      </c>
      <c r="J179" s="227"/>
      <c r="K179" s="227"/>
      <c r="L179" s="228" t="s">
        <v>23</v>
      </c>
    </row>
    <row r="180" spans="1:12" ht="12.3">
      <c r="A180" s="253">
        <v>42585</v>
      </c>
      <c r="B180" s="197" t="s">
        <v>1643</v>
      </c>
      <c r="C180" s="197" t="s">
        <v>83</v>
      </c>
      <c r="D180" s="197">
        <v>3.5</v>
      </c>
      <c r="E180" s="197">
        <v>8</v>
      </c>
      <c r="F180" s="197"/>
      <c r="G180" s="184" t="s">
        <v>23</v>
      </c>
      <c r="H180" s="195" t="s">
        <v>23</v>
      </c>
      <c r="I180" s="219">
        <v>1</v>
      </c>
      <c r="J180" s="221">
        <v>10</v>
      </c>
      <c r="K180" s="221">
        <v>0</v>
      </c>
      <c r="L180" s="191" t="s">
        <v>23</v>
      </c>
    </row>
    <row r="181" spans="1:12" ht="12.3">
      <c r="A181" s="253">
        <v>42586</v>
      </c>
      <c r="B181" s="197" t="s">
        <v>1513</v>
      </c>
      <c r="C181" s="197" t="s">
        <v>67</v>
      </c>
      <c r="D181" s="197" t="s">
        <v>1602</v>
      </c>
      <c r="E181" s="197">
        <v>1</v>
      </c>
      <c r="F181" s="197"/>
      <c r="G181" s="184" t="s">
        <v>23</v>
      </c>
      <c r="H181" s="195">
        <v>2</v>
      </c>
      <c r="I181" s="219">
        <v>1</v>
      </c>
      <c r="J181" s="221"/>
      <c r="K181" s="221">
        <v>0</v>
      </c>
      <c r="L181" s="191" t="s">
        <v>23</v>
      </c>
    </row>
    <row r="182" spans="1:12" ht="12.3">
      <c r="A182" s="253">
        <v>42589</v>
      </c>
      <c r="B182" s="197" t="s">
        <v>1644</v>
      </c>
      <c r="C182" s="197" t="s">
        <v>1645</v>
      </c>
      <c r="D182" s="197">
        <v>4.9000000000000004</v>
      </c>
      <c r="E182" s="197">
        <v>10</v>
      </c>
      <c r="F182" s="197" t="s">
        <v>35</v>
      </c>
      <c r="G182" s="184" t="s">
        <v>23</v>
      </c>
      <c r="H182" s="195" t="s">
        <v>23</v>
      </c>
      <c r="I182" s="219" t="s">
        <v>1478</v>
      </c>
      <c r="J182" s="221"/>
      <c r="K182" s="221">
        <v>0</v>
      </c>
      <c r="L182" s="191" t="s">
        <v>23</v>
      </c>
    </row>
    <row r="183" spans="1:12" ht="12.3">
      <c r="A183" s="253">
        <v>42590</v>
      </c>
      <c r="B183" s="196" t="s">
        <v>1646</v>
      </c>
      <c r="C183" s="196" t="s">
        <v>29</v>
      </c>
      <c r="D183" s="197">
        <v>4.5999999999999996</v>
      </c>
      <c r="E183" s="197">
        <v>7</v>
      </c>
      <c r="F183" s="197"/>
      <c r="G183" s="184" t="s">
        <v>23</v>
      </c>
      <c r="H183" s="195">
        <v>2</v>
      </c>
      <c r="I183" s="219">
        <v>2</v>
      </c>
      <c r="J183" s="221">
        <v>47</v>
      </c>
      <c r="K183" s="221">
        <v>0</v>
      </c>
      <c r="L183" s="191" t="s">
        <v>23</v>
      </c>
    </row>
    <row r="184" spans="1:12" ht="12.3">
      <c r="A184" s="253">
        <v>42592</v>
      </c>
      <c r="B184" s="197" t="s">
        <v>1647</v>
      </c>
      <c r="C184" s="197" t="s">
        <v>39</v>
      </c>
      <c r="D184" s="197">
        <v>5.0999999999999996</v>
      </c>
      <c r="E184" s="197">
        <v>18</v>
      </c>
      <c r="F184" s="197" t="s">
        <v>134</v>
      </c>
      <c r="G184" s="184" t="s">
        <v>23</v>
      </c>
      <c r="H184" s="195" t="s">
        <v>23</v>
      </c>
      <c r="I184" s="219">
        <v>1</v>
      </c>
      <c r="J184" s="221">
        <v>2</v>
      </c>
      <c r="K184" s="221">
        <v>0</v>
      </c>
      <c r="L184" s="191" t="s">
        <v>23</v>
      </c>
    </row>
    <row r="185" spans="1:12" ht="12.3">
      <c r="A185" s="253">
        <v>42593</v>
      </c>
      <c r="B185" s="197" t="s">
        <v>1648</v>
      </c>
      <c r="C185" s="197" t="s">
        <v>317</v>
      </c>
      <c r="D185" s="197">
        <v>2.7</v>
      </c>
      <c r="E185" s="197">
        <v>1</v>
      </c>
      <c r="F185" s="197"/>
      <c r="G185" s="184" t="s">
        <v>23</v>
      </c>
      <c r="H185" s="195" t="s">
        <v>23</v>
      </c>
      <c r="I185" s="219">
        <v>1</v>
      </c>
      <c r="J185" s="221"/>
      <c r="K185" s="221">
        <v>0</v>
      </c>
      <c r="L185" s="191" t="s">
        <v>23</v>
      </c>
    </row>
    <row r="186" spans="1:12" ht="12.3">
      <c r="A186" s="253">
        <v>42593</v>
      </c>
      <c r="B186" s="196" t="s">
        <v>1649</v>
      </c>
      <c r="C186" s="196" t="s">
        <v>83</v>
      </c>
      <c r="D186" s="197">
        <v>4.4000000000000004</v>
      </c>
      <c r="E186" s="197">
        <v>10</v>
      </c>
      <c r="F186" s="197"/>
      <c r="G186" s="184" t="s">
        <v>23</v>
      </c>
      <c r="H186" s="195">
        <v>3</v>
      </c>
      <c r="I186" s="219">
        <v>3</v>
      </c>
      <c r="J186" s="221">
        <v>873</v>
      </c>
      <c r="K186" s="221">
        <v>8</v>
      </c>
      <c r="L186" s="191" t="s">
        <v>23</v>
      </c>
    </row>
    <row r="187" spans="1:12" ht="12.3">
      <c r="A187" s="253">
        <v>42594</v>
      </c>
      <c r="B187" s="197" t="s">
        <v>1650</v>
      </c>
      <c r="C187" s="197" t="s">
        <v>1251</v>
      </c>
      <c r="D187" s="196">
        <v>7.2</v>
      </c>
      <c r="E187" s="197"/>
      <c r="F187" s="197"/>
      <c r="G187" s="184" t="s">
        <v>23</v>
      </c>
      <c r="H187" s="195" t="s">
        <v>23</v>
      </c>
      <c r="I187" s="219" t="s">
        <v>23</v>
      </c>
      <c r="J187" s="221">
        <v>0</v>
      </c>
      <c r="K187" s="221">
        <v>0</v>
      </c>
      <c r="L187" s="191" t="s">
        <v>1095</v>
      </c>
    </row>
    <row r="188" spans="1:12" ht="12.3">
      <c r="A188" s="253">
        <v>42594</v>
      </c>
      <c r="B188" s="197" t="s">
        <v>1526</v>
      </c>
      <c r="C188" s="197" t="s">
        <v>83</v>
      </c>
      <c r="D188" s="197">
        <v>4.5</v>
      </c>
      <c r="E188" s="197">
        <v>8</v>
      </c>
      <c r="F188" s="197"/>
      <c r="G188" s="184" t="s">
        <v>23</v>
      </c>
      <c r="H188" s="195" t="s">
        <v>23</v>
      </c>
      <c r="I188" s="219">
        <v>1</v>
      </c>
      <c r="J188" s="221"/>
      <c r="K188" s="221">
        <v>0</v>
      </c>
      <c r="L188" s="191" t="s">
        <v>23</v>
      </c>
    </row>
    <row r="189" spans="1:12" ht="12.3">
      <c r="A189" s="253">
        <v>42594</v>
      </c>
      <c r="B189" s="197" t="s">
        <v>1651</v>
      </c>
      <c r="C189" s="197" t="s">
        <v>317</v>
      </c>
      <c r="D189" s="197">
        <v>2.4</v>
      </c>
      <c r="E189" s="197">
        <v>2</v>
      </c>
      <c r="F189" s="197"/>
      <c r="G189" s="184" t="s">
        <v>23</v>
      </c>
      <c r="H189" s="195" t="s">
        <v>23</v>
      </c>
      <c r="I189" s="219">
        <v>1</v>
      </c>
      <c r="J189" s="221"/>
      <c r="K189" s="221">
        <v>0</v>
      </c>
      <c r="L189" s="191" t="s">
        <v>23</v>
      </c>
    </row>
    <row r="190" spans="1:12" ht="12.3">
      <c r="A190" s="253">
        <v>42594</v>
      </c>
      <c r="B190" s="197" t="s">
        <v>1481</v>
      </c>
      <c r="C190" s="197" t="s">
        <v>83</v>
      </c>
      <c r="D190" s="197">
        <v>4.7</v>
      </c>
      <c r="E190" s="197">
        <v>8</v>
      </c>
      <c r="F190" s="197"/>
      <c r="G190" s="184" t="s">
        <v>23</v>
      </c>
      <c r="H190" s="195" t="s">
        <v>23</v>
      </c>
      <c r="I190" s="219" t="s">
        <v>1478</v>
      </c>
      <c r="J190" s="221"/>
      <c r="K190" s="221">
        <v>0</v>
      </c>
      <c r="L190" s="191" t="s">
        <v>23</v>
      </c>
    </row>
    <row r="191" spans="1:12" ht="12.3">
      <c r="A191" s="253">
        <v>42595</v>
      </c>
      <c r="B191" s="197" t="s">
        <v>1513</v>
      </c>
      <c r="C191" s="197" t="s">
        <v>67</v>
      </c>
      <c r="D191" s="197" t="s">
        <v>1652</v>
      </c>
      <c r="E191" s="197">
        <v>1</v>
      </c>
      <c r="F191" s="197"/>
      <c r="G191" s="184" t="s">
        <v>23</v>
      </c>
      <c r="H191" s="195">
        <v>1</v>
      </c>
      <c r="I191" s="219"/>
      <c r="J191" s="221"/>
      <c r="K191" s="221">
        <v>0</v>
      </c>
      <c r="L191" s="191" t="s">
        <v>23</v>
      </c>
    </row>
    <row r="192" spans="1:12" ht="12.3">
      <c r="A192" s="254">
        <v>42597</v>
      </c>
      <c r="B192" s="225" t="s">
        <v>1535</v>
      </c>
      <c r="C192" s="225" t="s">
        <v>72</v>
      </c>
      <c r="D192" s="225">
        <v>5.3</v>
      </c>
      <c r="E192" s="225">
        <v>8</v>
      </c>
      <c r="F192" s="225" t="s">
        <v>35</v>
      </c>
      <c r="G192" s="184">
        <v>4</v>
      </c>
      <c r="H192" s="237">
        <v>67</v>
      </c>
      <c r="I192" s="238" t="s">
        <v>1653</v>
      </c>
      <c r="J192" s="227">
        <v>3625</v>
      </c>
      <c r="K192" s="227">
        <v>693</v>
      </c>
      <c r="L192" s="228" t="s">
        <v>23</v>
      </c>
    </row>
    <row r="193" spans="1:12" ht="12.3">
      <c r="A193" s="253">
        <v>42597</v>
      </c>
      <c r="B193" s="197" t="s">
        <v>1654</v>
      </c>
      <c r="C193" s="197" t="s">
        <v>62</v>
      </c>
      <c r="D193" s="197">
        <v>5.3</v>
      </c>
      <c r="E193" s="197">
        <v>10</v>
      </c>
      <c r="F193" s="197" t="s">
        <v>1364</v>
      </c>
      <c r="G193" s="184" t="s">
        <v>23</v>
      </c>
      <c r="H193" s="195">
        <v>1</v>
      </c>
      <c r="I193" s="219">
        <v>1</v>
      </c>
      <c r="J193" s="221">
        <v>2</v>
      </c>
      <c r="K193" s="221">
        <v>0</v>
      </c>
      <c r="L193" s="191" t="s">
        <v>23</v>
      </c>
    </row>
    <row r="194" spans="1:12" ht="12.3">
      <c r="A194" s="253">
        <v>42598</v>
      </c>
      <c r="B194" s="197" t="s">
        <v>1655</v>
      </c>
      <c r="C194" s="197" t="s">
        <v>241</v>
      </c>
      <c r="D194" s="197">
        <v>3.7</v>
      </c>
      <c r="E194" s="197"/>
      <c r="F194" s="197"/>
      <c r="G194" s="184" t="s">
        <v>23</v>
      </c>
      <c r="H194" s="195" t="s">
        <v>23</v>
      </c>
      <c r="I194" s="219">
        <v>1</v>
      </c>
      <c r="J194" s="221"/>
      <c r="K194" s="221">
        <v>0</v>
      </c>
      <c r="L194" s="191" t="s">
        <v>23</v>
      </c>
    </row>
    <row r="195" spans="1:12" ht="12.3">
      <c r="A195" s="253">
        <v>42599</v>
      </c>
      <c r="B195" s="197" t="s">
        <v>1471</v>
      </c>
      <c r="C195" s="197" t="s">
        <v>39</v>
      </c>
      <c r="D195" s="197" t="s">
        <v>1656</v>
      </c>
      <c r="E195" s="197">
        <v>4</v>
      </c>
      <c r="F195" s="197" t="s">
        <v>134</v>
      </c>
      <c r="G195" s="184" t="s">
        <v>23</v>
      </c>
      <c r="H195" s="195" t="s">
        <v>23</v>
      </c>
      <c r="I195" s="219">
        <v>1</v>
      </c>
      <c r="J195" s="221"/>
      <c r="K195" s="221">
        <v>0</v>
      </c>
      <c r="L195" s="191" t="s">
        <v>23</v>
      </c>
    </row>
    <row r="196" spans="1:12" ht="12.3">
      <c r="A196" s="253">
        <v>42599</v>
      </c>
      <c r="B196" s="197" t="s">
        <v>1657</v>
      </c>
      <c r="C196" s="197" t="s">
        <v>241</v>
      </c>
      <c r="D196" s="197">
        <v>4.8</v>
      </c>
      <c r="E196" s="197"/>
      <c r="F196" s="197" t="s">
        <v>134</v>
      </c>
      <c r="G196" s="184" t="s">
        <v>23</v>
      </c>
      <c r="H196" s="195" t="s">
        <v>23</v>
      </c>
      <c r="I196" s="219">
        <v>1</v>
      </c>
      <c r="J196" s="221"/>
      <c r="K196" s="221">
        <v>0</v>
      </c>
      <c r="L196" s="191" t="s">
        <v>23</v>
      </c>
    </row>
    <row r="197" spans="1:12" ht="12.3">
      <c r="A197" s="253">
        <v>42599</v>
      </c>
      <c r="B197" s="197" t="s">
        <v>1658</v>
      </c>
      <c r="C197" s="197" t="s">
        <v>346</v>
      </c>
      <c r="D197" s="197">
        <v>4.2</v>
      </c>
      <c r="E197" s="197">
        <v>5</v>
      </c>
      <c r="F197" s="197"/>
      <c r="G197" s="184" t="s">
        <v>23</v>
      </c>
      <c r="H197" s="195" t="s">
        <v>23</v>
      </c>
      <c r="I197" s="219">
        <v>1</v>
      </c>
      <c r="J197" s="221"/>
      <c r="K197" s="221">
        <v>0</v>
      </c>
      <c r="L197" s="191" t="s">
        <v>23</v>
      </c>
    </row>
    <row r="198" spans="1:12" ht="12.3">
      <c r="A198" s="253">
        <v>42600</v>
      </c>
      <c r="B198" s="197" t="s">
        <v>1659</v>
      </c>
      <c r="C198" s="197" t="s">
        <v>661</v>
      </c>
      <c r="D198" s="196">
        <v>5.8</v>
      </c>
      <c r="E198" s="197"/>
      <c r="F198" s="197"/>
      <c r="G198" s="184" t="s">
        <v>23</v>
      </c>
      <c r="H198" s="195" t="s">
        <v>23</v>
      </c>
      <c r="I198" s="219">
        <v>1</v>
      </c>
      <c r="J198" s="221"/>
      <c r="K198" s="221">
        <v>0</v>
      </c>
      <c r="L198" s="191" t="s">
        <v>23</v>
      </c>
    </row>
    <row r="199" spans="1:12" ht="12.3">
      <c r="A199" s="253">
        <v>42601</v>
      </c>
      <c r="B199" s="197" t="s">
        <v>1660</v>
      </c>
      <c r="C199" s="197" t="s">
        <v>143</v>
      </c>
      <c r="D199" s="196">
        <v>7.4</v>
      </c>
      <c r="E199" s="197"/>
      <c r="F199" s="197"/>
      <c r="G199" s="184" t="s">
        <v>23</v>
      </c>
      <c r="H199" s="195" t="s">
        <v>23</v>
      </c>
      <c r="I199" s="219" t="s">
        <v>23</v>
      </c>
      <c r="J199" s="221">
        <v>0</v>
      </c>
      <c r="K199" s="221">
        <v>0</v>
      </c>
      <c r="L199" s="191" t="s">
        <v>705</v>
      </c>
    </row>
    <row r="200" spans="1:12" ht="12.3">
      <c r="A200" s="253">
        <v>42601</v>
      </c>
      <c r="B200" s="197" t="s">
        <v>1661</v>
      </c>
      <c r="C200" s="197" t="s">
        <v>72</v>
      </c>
      <c r="D200" s="197">
        <v>5.2</v>
      </c>
      <c r="E200" s="197"/>
      <c r="F200" s="197" t="s">
        <v>684</v>
      </c>
      <c r="G200" s="184" t="s">
        <v>23</v>
      </c>
      <c r="H200" s="195" t="s">
        <v>23</v>
      </c>
      <c r="I200" s="219">
        <v>1</v>
      </c>
      <c r="J200" s="221">
        <v>2</v>
      </c>
      <c r="K200" s="221">
        <v>0</v>
      </c>
      <c r="L200" s="191" t="s">
        <v>23</v>
      </c>
    </row>
    <row r="201" spans="1:12" ht="12.3">
      <c r="A201" s="253">
        <v>42603</v>
      </c>
      <c r="B201" s="197" t="s">
        <v>1662</v>
      </c>
      <c r="C201" s="197" t="s">
        <v>17</v>
      </c>
      <c r="D201" s="197">
        <v>4.8</v>
      </c>
      <c r="E201" s="197">
        <v>8</v>
      </c>
      <c r="F201" s="197"/>
      <c r="G201" s="184" t="s">
        <v>23</v>
      </c>
      <c r="H201" s="195">
        <v>5</v>
      </c>
      <c r="I201" s="219"/>
      <c r="J201" s="221"/>
      <c r="K201" s="221"/>
      <c r="L201" s="191" t="s">
        <v>23</v>
      </c>
    </row>
    <row r="202" spans="1:12" ht="12.3">
      <c r="A202" s="253">
        <v>42605</v>
      </c>
      <c r="B202" s="197" t="s">
        <v>1564</v>
      </c>
      <c r="C202" s="197" t="s">
        <v>226</v>
      </c>
      <c r="D202" s="196">
        <v>5.5</v>
      </c>
      <c r="E202" s="197"/>
      <c r="F202" s="197"/>
      <c r="G202" s="184" t="s">
        <v>23</v>
      </c>
      <c r="H202" s="195" t="s">
        <v>23</v>
      </c>
      <c r="I202" s="219">
        <v>1</v>
      </c>
      <c r="J202" s="221"/>
      <c r="K202" s="221">
        <v>0</v>
      </c>
      <c r="L202" s="191" t="s">
        <v>23</v>
      </c>
    </row>
    <row r="203" spans="1:12" ht="12.3">
      <c r="A203" s="253">
        <v>42605</v>
      </c>
      <c r="B203" s="197" t="s">
        <v>1663</v>
      </c>
      <c r="C203" s="197" t="s">
        <v>24</v>
      </c>
      <c r="D203" s="197">
        <v>3.5</v>
      </c>
      <c r="E203" s="197"/>
      <c r="F203" s="197"/>
      <c r="G203" s="184" t="s">
        <v>23</v>
      </c>
      <c r="H203" s="195" t="s">
        <v>23</v>
      </c>
      <c r="I203" s="219">
        <v>1</v>
      </c>
      <c r="J203" s="221">
        <v>1</v>
      </c>
      <c r="K203" s="221">
        <v>0</v>
      </c>
      <c r="L203" s="191" t="s">
        <v>23</v>
      </c>
    </row>
    <row r="204" spans="1:12" ht="12.3">
      <c r="A204" s="254">
        <v>42606</v>
      </c>
      <c r="B204" s="225" t="s">
        <v>1664</v>
      </c>
      <c r="C204" s="225" t="s">
        <v>199</v>
      </c>
      <c r="D204" s="245">
        <v>6</v>
      </c>
      <c r="E204" s="225">
        <v>4</v>
      </c>
      <c r="F204" s="225" t="s">
        <v>363</v>
      </c>
      <c r="G204" s="184">
        <v>299</v>
      </c>
      <c r="H204" s="237">
        <v>386</v>
      </c>
      <c r="I204" s="238" t="s">
        <v>1653</v>
      </c>
      <c r="J204" s="227">
        <v>876</v>
      </c>
      <c r="K204" s="227">
        <v>461</v>
      </c>
      <c r="L204" s="228" t="s">
        <v>23</v>
      </c>
    </row>
    <row r="205" spans="1:12" ht="12.3">
      <c r="A205" s="253">
        <v>42606</v>
      </c>
      <c r="B205" s="196" t="s">
        <v>1665</v>
      </c>
      <c r="C205" s="196" t="s">
        <v>199</v>
      </c>
      <c r="D205" s="197">
        <v>5.4</v>
      </c>
      <c r="E205" s="197"/>
      <c r="F205" s="197"/>
      <c r="G205" s="184" t="s">
        <v>23</v>
      </c>
      <c r="H205" s="195">
        <v>1</v>
      </c>
      <c r="I205" s="219">
        <v>3</v>
      </c>
      <c r="J205" s="221"/>
      <c r="K205" s="221"/>
      <c r="L205" s="191" t="s">
        <v>23</v>
      </c>
    </row>
    <row r="206" spans="1:12" ht="12.3">
      <c r="A206" s="254">
        <v>42606</v>
      </c>
      <c r="B206" s="225" t="s">
        <v>1666</v>
      </c>
      <c r="C206" s="225" t="s">
        <v>226</v>
      </c>
      <c r="D206" s="225">
        <v>6.8</v>
      </c>
      <c r="E206" s="225">
        <v>85</v>
      </c>
      <c r="F206" s="225" t="s">
        <v>35</v>
      </c>
      <c r="G206" s="184">
        <v>3</v>
      </c>
      <c r="H206" s="237">
        <v>23</v>
      </c>
      <c r="I206" s="238">
        <v>4</v>
      </c>
      <c r="J206" s="227">
        <v>1002</v>
      </c>
      <c r="K206" s="227"/>
      <c r="L206" s="228" t="s">
        <v>23</v>
      </c>
    </row>
    <row r="207" spans="1:12" ht="12.3">
      <c r="A207" s="254">
        <v>42607</v>
      </c>
      <c r="B207" s="225" t="s">
        <v>1607</v>
      </c>
      <c r="C207" s="225" t="s">
        <v>67</v>
      </c>
      <c r="D207" s="225">
        <v>2.2999999999999998</v>
      </c>
      <c r="E207" s="225">
        <v>1</v>
      </c>
      <c r="F207" s="225"/>
      <c r="G207" s="184">
        <v>1</v>
      </c>
      <c r="H207" s="237">
        <v>3</v>
      </c>
      <c r="I207" s="238"/>
      <c r="J207" s="227">
        <v>0</v>
      </c>
      <c r="K207" s="227">
        <v>0</v>
      </c>
      <c r="L207" s="228" t="s">
        <v>23</v>
      </c>
    </row>
    <row r="208" spans="1:12" ht="12.3">
      <c r="A208" s="253">
        <v>42607</v>
      </c>
      <c r="B208" s="196" t="s">
        <v>1667</v>
      </c>
      <c r="C208" s="196" t="s">
        <v>199</v>
      </c>
      <c r="D208" s="197">
        <v>4.4000000000000004</v>
      </c>
      <c r="E208" s="197">
        <v>5</v>
      </c>
      <c r="F208" s="197"/>
      <c r="G208" s="184" t="s">
        <v>23</v>
      </c>
      <c r="H208" s="195" t="s">
        <v>23</v>
      </c>
      <c r="I208" s="219">
        <v>3</v>
      </c>
      <c r="J208" s="221"/>
      <c r="K208" s="221"/>
      <c r="L208" s="191" t="s">
        <v>23</v>
      </c>
    </row>
    <row r="209" spans="1:12" ht="12.3">
      <c r="A209" s="253">
        <v>42608</v>
      </c>
      <c r="B209" s="197" t="s">
        <v>1668</v>
      </c>
      <c r="C209" s="197" t="s">
        <v>29</v>
      </c>
      <c r="D209" s="234">
        <v>5.2</v>
      </c>
      <c r="E209" s="197"/>
      <c r="F209" s="197"/>
      <c r="G209" s="184" t="s">
        <v>23</v>
      </c>
      <c r="H209" s="195" t="s">
        <v>23</v>
      </c>
      <c r="I209" s="219">
        <v>2</v>
      </c>
      <c r="J209" s="221"/>
      <c r="K209" s="221">
        <v>1</v>
      </c>
      <c r="L209" s="191" t="s">
        <v>23</v>
      </c>
    </row>
    <row r="210" spans="1:12" ht="12.3">
      <c r="A210" s="253">
        <v>42608</v>
      </c>
      <c r="B210" s="197" t="s">
        <v>1669</v>
      </c>
      <c r="C210" s="197" t="s">
        <v>1145</v>
      </c>
      <c r="D210" s="234">
        <v>4</v>
      </c>
      <c r="E210" s="197"/>
      <c r="F210" s="197"/>
      <c r="G210" s="184" t="s">
        <v>23</v>
      </c>
      <c r="H210" s="195" t="s">
        <v>23</v>
      </c>
      <c r="I210" s="219">
        <v>1</v>
      </c>
      <c r="J210" s="221">
        <v>1</v>
      </c>
      <c r="K210" s="221">
        <v>0</v>
      </c>
      <c r="L210" s="191" t="s">
        <v>23</v>
      </c>
    </row>
    <row r="211" spans="1:12" ht="12.3">
      <c r="A211" s="253">
        <v>42608</v>
      </c>
      <c r="B211" s="196" t="s">
        <v>1667</v>
      </c>
      <c r="C211" s="196" t="s">
        <v>199</v>
      </c>
      <c r="D211" s="197">
        <v>4.8</v>
      </c>
      <c r="E211" s="197">
        <v>11</v>
      </c>
      <c r="F211" s="197"/>
      <c r="G211" s="184" t="s">
        <v>23</v>
      </c>
      <c r="H211" s="195" t="s">
        <v>23</v>
      </c>
      <c r="I211" s="219">
        <v>3</v>
      </c>
      <c r="J211" s="221"/>
      <c r="K211" s="221"/>
      <c r="L211" s="191" t="s">
        <v>23</v>
      </c>
    </row>
    <row r="212" spans="1:12" ht="12.3">
      <c r="A212" s="253">
        <v>42609</v>
      </c>
      <c r="B212" s="197" t="s">
        <v>1670</v>
      </c>
      <c r="C212" s="197" t="s">
        <v>24</v>
      </c>
      <c r="D212" s="197">
        <v>4.5999999999999996</v>
      </c>
      <c r="E212" s="197">
        <v>10</v>
      </c>
      <c r="F212" s="197"/>
      <c r="G212" s="184" t="s">
        <v>23</v>
      </c>
      <c r="H212" s="195" t="s">
        <v>23</v>
      </c>
      <c r="I212" s="219">
        <v>2</v>
      </c>
      <c r="J212" s="221"/>
      <c r="K212" s="221"/>
      <c r="L212" s="191" t="s">
        <v>23</v>
      </c>
    </row>
    <row r="213" spans="1:12" ht="12.3">
      <c r="A213" s="253">
        <v>42610</v>
      </c>
      <c r="B213" s="197" t="s">
        <v>1671</v>
      </c>
      <c r="C213" s="197" t="s">
        <v>24</v>
      </c>
      <c r="D213" s="197"/>
      <c r="E213" s="197"/>
      <c r="F213" s="197"/>
      <c r="G213" s="184" t="s">
        <v>23</v>
      </c>
      <c r="H213" s="195" t="s">
        <v>23</v>
      </c>
      <c r="I213" s="219">
        <v>1</v>
      </c>
      <c r="J213" s="221"/>
      <c r="K213" s="221"/>
      <c r="L213" s="191" t="s">
        <v>23</v>
      </c>
    </row>
    <row r="214" spans="1:12" ht="12.3">
      <c r="A214" s="253">
        <v>42610</v>
      </c>
      <c r="B214" s="197" t="s">
        <v>1672</v>
      </c>
      <c r="C214" s="197" t="s">
        <v>378</v>
      </c>
      <c r="D214" s="197">
        <v>4.4000000000000004</v>
      </c>
      <c r="E214" s="197"/>
      <c r="F214" s="197"/>
      <c r="G214" s="184" t="s">
        <v>23</v>
      </c>
      <c r="H214" s="195" t="s">
        <v>23</v>
      </c>
      <c r="I214" s="219" t="s">
        <v>1478</v>
      </c>
      <c r="J214" s="221"/>
      <c r="K214" s="221">
        <v>0</v>
      </c>
      <c r="L214" s="191" t="s">
        <v>23</v>
      </c>
    </row>
    <row r="215" spans="1:12" ht="12.3">
      <c r="A215" s="253">
        <v>42611</v>
      </c>
      <c r="B215" s="197" t="s">
        <v>1673</v>
      </c>
      <c r="C215" s="197" t="s">
        <v>1600</v>
      </c>
      <c r="D215" s="196">
        <v>7.1</v>
      </c>
      <c r="E215" s="197"/>
      <c r="F215" s="197" t="s">
        <v>790</v>
      </c>
      <c r="G215" s="184" t="s">
        <v>23</v>
      </c>
      <c r="H215" s="195" t="s">
        <v>23</v>
      </c>
      <c r="I215" s="219" t="s">
        <v>1478</v>
      </c>
      <c r="J215" s="221"/>
      <c r="K215" s="221">
        <v>0</v>
      </c>
      <c r="L215" s="191" t="s">
        <v>23</v>
      </c>
    </row>
    <row r="216" spans="1:12" ht="12.3">
      <c r="A216" s="253">
        <v>42611</v>
      </c>
      <c r="B216" s="197" t="s">
        <v>1674</v>
      </c>
      <c r="C216" s="197" t="s">
        <v>404</v>
      </c>
      <c r="D216" s="197">
        <v>5.2</v>
      </c>
      <c r="E216" s="197">
        <v>2</v>
      </c>
      <c r="F216" s="197" t="s">
        <v>123</v>
      </c>
      <c r="G216" s="184" t="s">
        <v>23</v>
      </c>
      <c r="H216" s="195" t="s">
        <v>23</v>
      </c>
      <c r="I216" s="219">
        <v>2</v>
      </c>
      <c r="J216" s="221">
        <v>21</v>
      </c>
      <c r="K216" s="221"/>
      <c r="L216" s="191" t="s">
        <v>23</v>
      </c>
    </row>
    <row r="217" spans="1:12" ht="12.3">
      <c r="A217" s="253">
        <v>42611</v>
      </c>
      <c r="B217" s="197" t="s">
        <v>1675</v>
      </c>
      <c r="C217" s="197" t="s">
        <v>33</v>
      </c>
      <c r="D217" s="197">
        <v>3.8</v>
      </c>
      <c r="E217" s="197"/>
      <c r="F217" s="197"/>
      <c r="G217" s="184" t="s">
        <v>23</v>
      </c>
      <c r="H217" s="195" t="s">
        <v>23</v>
      </c>
      <c r="I217" s="219">
        <v>1</v>
      </c>
      <c r="J217" s="221">
        <v>2</v>
      </c>
      <c r="K217" s="221">
        <v>0</v>
      </c>
      <c r="L217" s="191" t="s">
        <v>23</v>
      </c>
    </row>
    <row r="218" spans="1:12" ht="12.3">
      <c r="A218" s="253">
        <v>42613</v>
      </c>
      <c r="B218" s="197" t="s">
        <v>1676</v>
      </c>
      <c r="C218" s="197" t="s">
        <v>258</v>
      </c>
      <c r="D218" s="197">
        <v>5.2</v>
      </c>
      <c r="E218" s="197"/>
      <c r="F218" s="197" t="s">
        <v>1503</v>
      </c>
      <c r="G218" s="184" t="s">
        <v>23</v>
      </c>
      <c r="H218" s="195">
        <v>1</v>
      </c>
      <c r="I218" s="219" t="s">
        <v>23</v>
      </c>
      <c r="J218" s="221">
        <v>0</v>
      </c>
      <c r="K218" s="221">
        <v>0</v>
      </c>
      <c r="L218" s="191" t="s">
        <v>23</v>
      </c>
    </row>
    <row r="219" spans="1:12" ht="12.3">
      <c r="A219" s="198">
        <v>42613</v>
      </c>
      <c r="B219" s="197" t="s">
        <v>1677</v>
      </c>
      <c r="C219" s="197" t="s">
        <v>199</v>
      </c>
      <c r="D219" s="197">
        <v>3.8</v>
      </c>
      <c r="E219" s="255"/>
      <c r="F219" s="255"/>
      <c r="G219" s="222" t="s">
        <v>23</v>
      </c>
      <c r="H219" s="223" t="s">
        <v>23</v>
      </c>
      <c r="I219" s="235">
        <v>2</v>
      </c>
      <c r="J219" s="256"/>
      <c r="K219" s="256"/>
      <c r="L219" s="191" t="s">
        <v>23</v>
      </c>
    </row>
    <row r="220" spans="1:12" ht="12.3">
      <c r="A220" s="253">
        <v>42613</v>
      </c>
      <c r="B220" s="197" t="s">
        <v>1580</v>
      </c>
      <c r="C220" s="197" t="s">
        <v>652</v>
      </c>
      <c r="D220" s="197">
        <v>3.5</v>
      </c>
      <c r="E220" s="197"/>
      <c r="F220" s="197"/>
      <c r="G220" s="184" t="s">
        <v>23</v>
      </c>
      <c r="H220" s="195" t="s">
        <v>23</v>
      </c>
      <c r="I220" s="219">
        <v>1</v>
      </c>
      <c r="J220" s="221"/>
      <c r="K220" s="221">
        <v>0</v>
      </c>
      <c r="L220" s="191" t="s">
        <v>23</v>
      </c>
    </row>
    <row r="221" spans="1:12" ht="12.3">
      <c r="A221" s="253">
        <v>42614</v>
      </c>
      <c r="B221" s="197" t="s">
        <v>1678</v>
      </c>
      <c r="C221" s="197" t="s">
        <v>636</v>
      </c>
      <c r="D221" s="196">
        <v>7.1</v>
      </c>
      <c r="E221" s="197">
        <v>22</v>
      </c>
      <c r="F221" s="197"/>
      <c r="G221" s="184" t="s">
        <v>23</v>
      </c>
      <c r="H221" s="195" t="s">
        <v>23</v>
      </c>
      <c r="I221" s="219">
        <v>1</v>
      </c>
      <c r="J221" s="221"/>
      <c r="K221" s="221">
        <v>0</v>
      </c>
      <c r="L221" s="191" t="s">
        <v>588</v>
      </c>
    </row>
    <row r="222" spans="1:12" ht="12.3">
      <c r="A222" s="253">
        <v>42615</v>
      </c>
      <c r="B222" s="197" t="s">
        <v>1540</v>
      </c>
      <c r="C222" s="197" t="s">
        <v>615</v>
      </c>
      <c r="D222" s="197" t="s">
        <v>1679</v>
      </c>
      <c r="E222" s="197">
        <v>3</v>
      </c>
      <c r="F222" s="197"/>
      <c r="G222" s="184" t="s">
        <v>23</v>
      </c>
      <c r="H222" s="195" t="s">
        <v>23</v>
      </c>
      <c r="I222" s="219">
        <v>1</v>
      </c>
      <c r="J222" s="221">
        <v>45</v>
      </c>
      <c r="K222" s="221">
        <v>0</v>
      </c>
      <c r="L222" s="191" t="s">
        <v>23</v>
      </c>
    </row>
    <row r="223" spans="1:12" ht="12.3">
      <c r="A223" s="253">
        <v>42616</v>
      </c>
      <c r="B223" s="196" t="s">
        <v>1665</v>
      </c>
      <c r="C223" s="196" t="s">
        <v>199</v>
      </c>
      <c r="D223" s="197">
        <v>4.3</v>
      </c>
      <c r="E223" s="197">
        <v>11</v>
      </c>
      <c r="F223" s="197"/>
      <c r="G223" s="184" t="s">
        <v>23</v>
      </c>
      <c r="H223" s="195" t="s">
        <v>23</v>
      </c>
      <c r="I223" s="219" t="s">
        <v>1511</v>
      </c>
      <c r="J223" s="221"/>
      <c r="K223" s="221"/>
      <c r="L223" s="191" t="s">
        <v>23</v>
      </c>
    </row>
    <row r="224" spans="1:12" ht="12.3">
      <c r="A224" s="253">
        <v>42616</v>
      </c>
      <c r="B224" s="196" t="s">
        <v>1471</v>
      </c>
      <c r="C224" s="196" t="s">
        <v>39</v>
      </c>
      <c r="D224" s="196" t="s">
        <v>1680</v>
      </c>
      <c r="E224" s="197">
        <v>5</v>
      </c>
      <c r="F224" s="197" t="s">
        <v>123</v>
      </c>
      <c r="G224" s="184" t="s">
        <v>23</v>
      </c>
      <c r="H224" s="195">
        <v>1</v>
      </c>
      <c r="I224" s="219">
        <v>2</v>
      </c>
      <c r="J224" s="221"/>
      <c r="K224" s="221"/>
      <c r="L224" s="191" t="s">
        <v>23</v>
      </c>
    </row>
    <row r="225" spans="1:12" ht="12.3">
      <c r="A225" s="253">
        <v>42618</v>
      </c>
      <c r="B225" s="197" t="s">
        <v>1646</v>
      </c>
      <c r="C225" s="197" t="s">
        <v>29</v>
      </c>
      <c r="D225" s="197">
        <v>4.5999999999999996</v>
      </c>
      <c r="E225" s="197">
        <v>5</v>
      </c>
      <c r="F225" s="197"/>
      <c r="G225" s="184" t="s">
        <v>23</v>
      </c>
      <c r="H225" s="195">
        <v>10</v>
      </c>
      <c r="I225" s="219" t="s">
        <v>1511</v>
      </c>
      <c r="J225" s="221">
        <v>65</v>
      </c>
      <c r="K225" s="221"/>
      <c r="L225" s="191" t="s">
        <v>23</v>
      </c>
    </row>
    <row r="226" spans="1:12" ht="12.3">
      <c r="A226" s="253">
        <v>42618</v>
      </c>
      <c r="B226" s="196" t="s">
        <v>1681</v>
      </c>
      <c r="C226" s="196" t="s">
        <v>216</v>
      </c>
      <c r="D226" s="197">
        <v>4.5</v>
      </c>
      <c r="E226" s="197">
        <v>15</v>
      </c>
      <c r="F226" s="197"/>
      <c r="G226" s="184" t="s">
        <v>23</v>
      </c>
      <c r="H226" s="195">
        <v>57</v>
      </c>
      <c r="I226" s="219">
        <v>3</v>
      </c>
      <c r="J226" s="221"/>
      <c r="K226" s="221"/>
      <c r="L226" s="191" t="s">
        <v>23</v>
      </c>
    </row>
    <row r="227" spans="1:12" ht="12.3">
      <c r="A227" s="253">
        <v>42620</v>
      </c>
      <c r="B227" s="197" t="s">
        <v>1682</v>
      </c>
      <c r="C227" s="197" t="s">
        <v>419</v>
      </c>
      <c r="D227" s="197">
        <v>4.4000000000000004</v>
      </c>
      <c r="E227" s="197">
        <v>4</v>
      </c>
      <c r="F227" s="197" t="s">
        <v>684</v>
      </c>
      <c r="G227" s="184" t="s">
        <v>23</v>
      </c>
      <c r="H227" s="195" t="s">
        <v>23</v>
      </c>
      <c r="I227" s="219">
        <v>1</v>
      </c>
      <c r="J227" s="221"/>
      <c r="K227" s="221">
        <v>0</v>
      </c>
      <c r="L227" s="191" t="s">
        <v>23</v>
      </c>
    </row>
    <row r="228" spans="1:12" ht="12.3">
      <c r="A228" s="253">
        <v>42622</v>
      </c>
      <c r="B228" s="197" t="s">
        <v>1683</v>
      </c>
      <c r="C228" s="197" t="s">
        <v>636</v>
      </c>
      <c r="D228" s="197">
        <v>5.0999999999999996</v>
      </c>
      <c r="E228" s="197">
        <v>80</v>
      </c>
      <c r="F228" s="197"/>
      <c r="G228" s="184" t="s">
        <v>23</v>
      </c>
      <c r="H228" s="195" t="s">
        <v>23</v>
      </c>
      <c r="I228" s="219">
        <v>1</v>
      </c>
      <c r="J228" s="221">
        <v>2</v>
      </c>
      <c r="K228" s="221">
        <v>0</v>
      </c>
      <c r="L228" s="191" t="s">
        <v>23</v>
      </c>
    </row>
    <row r="229" spans="1:12" ht="12.3">
      <c r="A229" s="253">
        <v>42623</v>
      </c>
      <c r="B229" s="197" t="s">
        <v>1684</v>
      </c>
      <c r="C229" s="197" t="s">
        <v>72</v>
      </c>
      <c r="D229" s="257" t="s">
        <v>1685</v>
      </c>
      <c r="E229" s="197">
        <v>114</v>
      </c>
      <c r="F229" s="197" t="s">
        <v>684</v>
      </c>
      <c r="G229" s="184" t="s">
        <v>23</v>
      </c>
      <c r="H229" s="195" t="s">
        <v>23</v>
      </c>
      <c r="I229" s="219">
        <v>1</v>
      </c>
      <c r="J229" s="221">
        <v>2</v>
      </c>
      <c r="K229" s="221">
        <v>0</v>
      </c>
      <c r="L229" s="191" t="s">
        <v>23</v>
      </c>
    </row>
    <row r="230" spans="1:12" ht="12.3">
      <c r="A230" s="254">
        <v>42623</v>
      </c>
      <c r="B230" s="225" t="s">
        <v>1686</v>
      </c>
      <c r="C230" s="225" t="s">
        <v>262</v>
      </c>
      <c r="D230" s="225">
        <v>5.8</v>
      </c>
      <c r="E230" s="225">
        <v>10</v>
      </c>
      <c r="F230" s="225" t="s">
        <v>123</v>
      </c>
      <c r="G230" s="184">
        <v>20</v>
      </c>
      <c r="H230" s="237">
        <v>613</v>
      </c>
      <c r="I230" s="238">
        <v>5</v>
      </c>
      <c r="J230" s="227">
        <v>11395</v>
      </c>
      <c r="K230" s="227">
        <v>2072</v>
      </c>
      <c r="L230" s="228" t="s">
        <v>23</v>
      </c>
    </row>
    <row r="231" spans="1:12" ht="12.3">
      <c r="A231" s="254"/>
      <c r="B231" s="225"/>
      <c r="C231" s="225" t="s">
        <v>1687</v>
      </c>
      <c r="D231" s="225"/>
      <c r="E231" s="225"/>
      <c r="F231" s="225"/>
      <c r="G231" s="184">
        <v>4</v>
      </c>
      <c r="H231" s="237">
        <v>6</v>
      </c>
      <c r="I231" s="238"/>
      <c r="J231" s="227">
        <v>3200</v>
      </c>
      <c r="K231" s="227">
        <v>600</v>
      </c>
      <c r="L231" s="228"/>
    </row>
    <row r="232" spans="1:12" ht="12.3">
      <c r="A232" s="253">
        <v>42623</v>
      </c>
      <c r="B232" s="197" t="s">
        <v>1663</v>
      </c>
      <c r="C232" s="197" t="s">
        <v>24</v>
      </c>
      <c r="D232" s="197">
        <v>4.0999999999999996</v>
      </c>
      <c r="E232" s="197"/>
      <c r="F232" s="197"/>
      <c r="G232" s="184" t="s">
        <v>23</v>
      </c>
      <c r="H232" s="195" t="s">
        <v>23</v>
      </c>
      <c r="I232" s="219" t="s">
        <v>1478</v>
      </c>
      <c r="J232" s="221"/>
      <c r="K232" s="221">
        <v>0</v>
      </c>
      <c r="L232" s="191" t="s">
        <v>23</v>
      </c>
    </row>
    <row r="233" spans="1:12" ht="12.3">
      <c r="A233" s="253">
        <v>42623</v>
      </c>
      <c r="B233" s="197" t="s">
        <v>1688</v>
      </c>
      <c r="C233" s="197" t="s">
        <v>235</v>
      </c>
      <c r="D233" s="197">
        <v>3.9</v>
      </c>
      <c r="E233" s="197">
        <v>6</v>
      </c>
      <c r="F233" s="197"/>
      <c r="G233" s="222" t="s">
        <v>23</v>
      </c>
      <c r="H233" s="223" t="s">
        <v>23</v>
      </c>
      <c r="I233" s="235">
        <v>1</v>
      </c>
      <c r="J233" s="197"/>
      <c r="K233" s="197"/>
      <c r="L233" s="191" t="s">
        <v>23</v>
      </c>
    </row>
    <row r="234" spans="1:12" ht="12.3">
      <c r="A234" s="253">
        <v>42624</v>
      </c>
      <c r="B234" s="196" t="s">
        <v>1689</v>
      </c>
      <c r="C234" s="196" t="s">
        <v>1082</v>
      </c>
      <c r="D234" s="197">
        <v>5.3</v>
      </c>
      <c r="E234" s="197">
        <v>4</v>
      </c>
      <c r="F234" s="197" t="s">
        <v>123</v>
      </c>
      <c r="G234" s="184" t="s">
        <v>23</v>
      </c>
      <c r="H234" s="195">
        <v>131</v>
      </c>
      <c r="I234" s="219">
        <v>3</v>
      </c>
      <c r="J234" s="221">
        <v>300</v>
      </c>
      <c r="K234" s="221"/>
      <c r="L234" s="191" t="s">
        <v>23</v>
      </c>
    </row>
    <row r="235" spans="1:12" ht="12.3">
      <c r="A235" s="253">
        <v>42624</v>
      </c>
      <c r="B235" s="197" t="s">
        <v>1581</v>
      </c>
      <c r="C235" s="197" t="s">
        <v>1582</v>
      </c>
      <c r="D235" s="258">
        <v>42523</v>
      </c>
      <c r="E235" s="197"/>
      <c r="F235" s="197"/>
      <c r="G235" s="184"/>
      <c r="H235" s="195"/>
      <c r="I235" s="219">
        <v>2</v>
      </c>
      <c r="J235" s="221"/>
      <c r="K235" s="221"/>
      <c r="L235" s="191" t="s">
        <v>23</v>
      </c>
    </row>
    <row r="236" spans="1:12" ht="12.3">
      <c r="A236" s="253">
        <v>42625</v>
      </c>
      <c r="B236" s="197" t="s">
        <v>1690</v>
      </c>
      <c r="C236" s="197" t="s">
        <v>105</v>
      </c>
      <c r="D236" s="234">
        <v>5</v>
      </c>
      <c r="E236" s="197">
        <v>14</v>
      </c>
      <c r="F236" s="197"/>
      <c r="G236" s="184"/>
      <c r="H236" s="195"/>
      <c r="I236" s="219">
        <v>1</v>
      </c>
      <c r="J236" s="221"/>
      <c r="K236" s="221"/>
      <c r="L236" s="191" t="s">
        <v>23</v>
      </c>
    </row>
    <row r="237" spans="1:12" ht="12.3">
      <c r="A237" s="253">
        <v>42625</v>
      </c>
      <c r="B237" s="196" t="s">
        <v>1691</v>
      </c>
      <c r="C237" s="196" t="s">
        <v>1122</v>
      </c>
      <c r="D237" s="196">
        <v>5.8</v>
      </c>
      <c r="E237" s="197">
        <v>10</v>
      </c>
      <c r="F237" s="197" t="s">
        <v>123</v>
      </c>
      <c r="G237" s="184"/>
      <c r="H237" s="195">
        <v>24</v>
      </c>
      <c r="I237" s="219" t="s">
        <v>1511</v>
      </c>
      <c r="J237" s="221">
        <v>5366</v>
      </c>
      <c r="K237" s="221"/>
      <c r="L237" s="191" t="s">
        <v>23</v>
      </c>
    </row>
    <row r="238" spans="1:12" ht="12.3">
      <c r="A238" s="253">
        <v>42627</v>
      </c>
      <c r="B238" s="197" t="s">
        <v>1692</v>
      </c>
      <c r="C238" s="197" t="s">
        <v>378</v>
      </c>
      <c r="D238" s="196">
        <v>6.1</v>
      </c>
      <c r="E238" s="197"/>
      <c r="F238" s="197"/>
      <c r="G238" s="184"/>
      <c r="H238" s="195"/>
      <c r="I238" s="219">
        <v>2</v>
      </c>
      <c r="J238" s="221"/>
      <c r="K238" s="221"/>
      <c r="L238" s="191" t="s">
        <v>23</v>
      </c>
    </row>
    <row r="239" spans="1:12" ht="12.3">
      <c r="A239" s="253">
        <v>42628</v>
      </c>
      <c r="B239" s="197" t="s">
        <v>1579</v>
      </c>
      <c r="C239" s="197" t="s">
        <v>33</v>
      </c>
      <c r="D239" s="197">
        <v>5.3</v>
      </c>
      <c r="E239" s="197"/>
      <c r="F239" s="197"/>
      <c r="G239" s="184"/>
      <c r="H239" s="195"/>
      <c r="I239" s="219">
        <v>1</v>
      </c>
      <c r="J239" s="221">
        <v>1</v>
      </c>
      <c r="K239" s="221">
        <v>0</v>
      </c>
      <c r="L239" s="191" t="s">
        <v>23</v>
      </c>
    </row>
    <row r="240" spans="1:12" ht="12.3">
      <c r="A240" s="253">
        <v>42628</v>
      </c>
      <c r="B240" s="196" t="s">
        <v>1693</v>
      </c>
      <c r="C240" s="196" t="s">
        <v>604</v>
      </c>
      <c r="D240" s="196">
        <v>5.9</v>
      </c>
      <c r="E240" s="197"/>
      <c r="F240" s="197"/>
      <c r="G240" s="184"/>
      <c r="H240" s="195">
        <v>3</v>
      </c>
      <c r="I240" s="219" t="s">
        <v>1511</v>
      </c>
      <c r="J240" s="221">
        <v>12</v>
      </c>
      <c r="K240" s="221"/>
      <c r="L240" s="191" t="s">
        <v>23</v>
      </c>
    </row>
    <row r="241" spans="1:12" ht="12.3">
      <c r="A241" s="253">
        <v>42628</v>
      </c>
      <c r="B241" s="197" t="s">
        <v>1667</v>
      </c>
      <c r="C241" s="197"/>
      <c r="D241" s="197">
        <v>4.2</v>
      </c>
      <c r="E241" s="197"/>
      <c r="F241" s="197"/>
      <c r="G241" s="184"/>
      <c r="H241" s="195"/>
      <c r="I241" s="219"/>
      <c r="J241" s="221"/>
      <c r="K241" s="221"/>
      <c r="L241" s="191" t="s">
        <v>23</v>
      </c>
    </row>
    <row r="242" spans="1:12" ht="12.3">
      <c r="A242" s="253">
        <v>42632</v>
      </c>
      <c r="B242" s="197" t="s">
        <v>1694</v>
      </c>
      <c r="C242" s="197" t="s">
        <v>1122</v>
      </c>
      <c r="D242" s="197">
        <v>4.5</v>
      </c>
      <c r="E242" s="197"/>
      <c r="F242" s="197"/>
      <c r="G242" s="184" t="s">
        <v>23</v>
      </c>
      <c r="H242" s="195" t="s">
        <v>23</v>
      </c>
      <c r="I242" s="219">
        <v>1</v>
      </c>
      <c r="J242" s="221">
        <v>12</v>
      </c>
      <c r="K242" s="221"/>
      <c r="L242" s="191" t="s">
        <v>23</v>
      </c>
    </row>
    <row r="243" spans="1:12" ht="12.3">
      <c r="A243" s="253">
        <v>42634</v>
      </c>
      <c r="B243" s="197" t="s">
        <v>1695</v>
      </c>
      <c r="C243" s="197" t="s">
        <v>17</v>
      </c>
      <c r="D243" s="197">
        <v>4.5</v>
      </c>
      <c r="E243" s="197"/>
      <c r="F243" s="197"/>
      <c r="G243" s="184" t="s">
        <v>23</v>
      </c>
      <c r="H243" s="195" t="s">
        <v>23</v>
      </c>
      <c r="I243" s="219" t="s">
        <v>1478</v>
      </c>
      <c r="J243" s="221"/>
      <c r="K243" s="221"/>
      <c r="L243" s="191" t="s">
        <v>23</v>
      </c>
    </row>
    <row r="244" spans="1:12" ht="12.3">
      <c r="A244" s="253">
        <v>42635</v>
      </c>
      <c r="B244" s="196" t="s">
        <v>1477</v>
      </c>
      <c r="C244" s="196" t="s">
        <v>83</v>
      </c>
      <c r="D244" s="197">
        <v>5.0999999999999996</v>
      </c>
      <c r="E244" s="197"/>
      <c r="F244" s="197"/>
      <c r="G244" s="184" t="s">
        <v>23</v>
      </c>
      <c r="H244" s="195" t="s">
        <v>23</v>
      </c>
      <c r="I244" s="219">
        <v>3</v>
      </c>
      <c r="J244" s="221">
        <v>1900</v>
      </c>
      <c r="K244" s="221">
        <v>100</v>
      </c>
      <c r="L244" s="191" t="s">
        <v>23</v>
      </c>
    </row>
    <row r="245" spans="1:12" ht="12.3">
      <c r="A245" s="254">
        <v>42635</v>
      </c>
      <c r="B245" s="225" t="s">
        <v>1696</v>
      </c>
      <c r="C245" s="225" t="s">
        <v>216</v>
      </c>
      <c r="D245" s="225">
        <v>4.9000000000000004</v>
      </c>
      <c r="E245" s="225">
        <v>20</v>
      </c>
      <c r="F245" s="225"/>
      <c r="G245" s="184">
        <v>1</v>
      </c>
      <c r="H245" s="237">
        <v>9</v>
      </c>
      <c r="I245" s="238">
        <v>3</v>
      </c>
      <c r="J245" s="227"/>
      <c r="K245" s="227"/>
      <c r="L245" s="228" t="s">
        <v>23</v>
      </c>
    </row>
    <row r="246" spans="1:12" ht="12.3">
      <c r="A246" s="254">
        <v>42636</v>
      </c>
      <c r="B246" s="225" t="s">
        <v>1697</v>
      </c>
      <c r="C246" s="225" t="s">
        <v>1698</v>
      </c>
      <c r="D246" s="225">
        <v>4.8</v>
      </c>
      <c r="E246" s="225"/>
      <c r="F246" s="225"/>
      <c r="G246" s="184">
        <v>7</v>
      </c>
      <c r="H246" s="237">
        <v>84</v>
      </c>
      <c r="I246" s="238">
        <v>4</v>
      </c>
      <c r="J246" s="227"/>
      <c r="K246" s="227"/>
      <c r="L246" s="228" t="s">
        <v>23</v>
      </c>
    </row>
    <row r="247" spans="1:12" ht="12.3">
      <c r="A247" s="253"/>
      <c r="B247" s="196"/>
      <c r="C247" s="196" t="s">
        <v>934</v>
      </c>
      <c r="D247" s="197"/>
      <c r="E247" s="197"/>
      <c r="F247" s="197"/>
      <c r="G247" s="184"/>
      <c r="H247" s="195"/>
      <c r="I247" s="219"/>
      <c r="J247" s="221"/>
      <c r="K247" s="221"/>
      <c r="L247" s="191"/>
    </row>
    <row r="248" spans="1:12" ht="12.3">
      <c r="A248" s="253"/>
      <c r="B248" s="196"/>
      <c r="C248" s="196" t="s">
        <v>1699</v>
      </c>
      <c r="D248" s="197"/>
      <c r="E248" s="197"/>
      <c r="F248" s="197"/>
      <c r="G248" s="184"/>
      <c r="H248" s="195"/>
      <c r="I248" s="219"/>
      <c r="J248" s="221"/>
      <c r="K248" s="221"/>
      <c r="L248" s="191"/>
    </row>
    <row r="249" spans="1:12" ht="12.3">
      <c r="A249" s="253">
        <v>42636</v>
      </c>
      <c r="B249" s="196" t="s">
        <v>1700</v>
      </c>
      <c r="C249" s="196" t="s">
        <v>1278</v>
      </c>
      <c r="D249" s="197">
        <v>5.4</v>
      </c>
      <c r="E249" s="197">
        <v>95</v>
      </c>
      <c r="F249" s="197"/>
      <c r="G249" s="184" t="s">
        <v>23</v>
      </c>
      <c r="H249" s="195">
        <v>6</v>
      </c>
      <c r="I249" s="219">
        <v>2</v>
      </c>
      <c r="J249" s="221"/>
      <c r="K249" s="221"/>
      <c r="L249" s="191" t="s">
        <v>23</v>
      </c>
    </row>
    <row r="250" spans="1:12" ht="12.3">
      <c r="A250" s="254">
        <v>42641</v>
      </c>
      <c r="B250" s="225" t="s">
        <v>1693</v>
      </c>
      <c r="C250" s="225" t="s">
        <v>604</v>
      </c>
      <c r="D250" s="225">
        <v>5.4</v>
      </c>
      <c r="E250" s="225">
        <v>7</v>
      </c>
      <c r="F250" s="225"/>
      <c r="G250" s="184">
        <v>1</v>
      </c>
      <c r="H250" s="237">
        <v>10</v>
      </c>
      <c r="I250" s="238">
        <v>3</v>
      </c>
      <c r="J250" s="227">
        <v>487</v>
      </c>
      <c r="K250" s="227">
        <v>8</v>
      </c>
      <c r="L250" s="228" t="s">
        <v>23</v>
      </c>
    </row>
    <row r="251" spans="1:12" ht="12.3">
      <c r="A251" s="254">
        <v>42644</v>
      </c>
      <c r="B251" s="225" t="s">
        <v>1701</v>
      </c>
      <c r="C251" s="225" t="s">
        <v>216</v>
      </c>
      <c r="D251" s="225">
        <v>5.5</v>
      </c>
      <c r="E251" s="225">
        <v>12</v>
      </c>
      <c r="F251" s="225"/>
      <c r="G251" s="184">
        <v>2</v>
      </c>
      <c r="H251" s="237">
        <v>23</v>
      </c>
      <c r="I251" s="238">
        <v>3</v>
      </c>
      <c r="J251" s="227"/>
      <c r="K251" s="227"/>
      <c r="L251" s="228" t="s">
        <v>23</v>
      </c>
    </row>
    <row r="252" spans="1:12" ht="12.3">
      <c r="A252" s="253">
        <v>42652</v>
      </c>
      <c r="B252" s="197" t="s">
        <v>1509</v>
      </c>
      <c r="C252" s="197" t="s">
        <v>24</v>
      </c>
      <c r="D252" s="197"/>
      <c r="E252" s="197"/>
      <c r="F252" s="197"/>
      <c r="G252" s="184" t="s">
        <v>23</v>
      </c>
      <c r="H252" s="195" t="s">
        <v>23</v>
      </c>
      <c r="I252" s="219" t="s">
        <v>1478</v>
      </c>
      <c r="J252" s="221"/>
      <c r="K252" s="221"/>
      <c r="L252" s="191" t="s">
        <v>23</v>
      </c>
    </row>
    <row r="253" spans="1:12" ht="12.3">
      <c r="A253" s="259">
        <v>42657</v>
      </c>
      <c r="B253" s="197" t="s">
        <v>1702</v>
      </c>
      <c r="C253" s="197" t="s">
        <v>17</v>
      </c>
      <c r="D253" s="197">
        <v>4.8</v>
      </c>
      <c r="E253" s="197"/>
      <c r="F253" s="197"/>
      <c r="G253" s="184" t="s">
        <v>23</v>
      </c>
      <c r="H253" s="195" t="s">
        <v>23</v>
      </c>
      <c r="I253" s="219">
        <v>2</v>
      </c>
      <c r="J253" s="221">
        <v>300</v>
      </c>
      <c r="K253" s="221">
        <v>0</v>
      </c>
      <c r="L253" s="191" t="s">
        <v>23</v>
      </c>
    </row>
    <row r="254" spans="1:12" ht="12.3">
      <c r="A254" s="259">
        <v>42658</v>
      </c>
      <c r="B254" s="196" t="s">
        <v>1703</v>
      </c>
      <c r="C254" s="196" t="s">
        <v>156</v>
      </c>
      <c r="D254" s="196">
        <v>5.5</v>
      </c>
      <c r="E254" s="197"/>
      <c r="F254" s="197"/>
      <c r="G254" s="184" t="s">
        <v>23</v>
      </c>
      <c r="H254" s="195" t="s">
        <v>23</v>
      </c>
      <c r="I254" s="219">
        <v>3</v>
      </c>
      <c r="J254" s="221"/>
      <c r="K254" s="221">
        <v>6</v>
      </c>
      <c r="L254" s="191" t="s">
        <v>23</v>
      </c>
    </row>
    <row r="255" spans="1:12" ht="12.3">
      <c r="A255" s="259">
        <v>42658</v>
      </c>
      <c r="B255" s="197" t="s">
        <v>1704</v>
      </c>
      <c r="C255" s="197" t="s">
        <v>346</v>
      </c>
      <c r="D255" s="197">
        <v>4.3</v>
      </c>
      <c r="E255" s="197"/>
      <c r="F255" s="197"/>
      <c r="G255" s="184" t="s">
        <v>23</v>
      </c>
      <c r="H255" s="195" t="s">
        <v>23</v>
      </c>
      <c r="I255" s="219">
        <v>1</v>
      </c>
      <c r="J255" s="221">
        <v>1</v>
      </c>
      <c r="K255" s="221">
        <v>0</v>
      </c>
      <c r="L255" s="191" t="s">
        <v>23</v>
      </c>
    </row>
    <row r="256" spans="1:12" ht="12.3">
      <c r="A256" s="260">
        <v>42659</v>
      </c>
      <c r="B256" s="225" t="s">
        <v>1705</v>
      </c>
      <c r="C256" s="225" t="s">
        <v>72</v>
      </c>
      <c r="D256" s="225">
        <v>5.3</v>
      </c>
      <c r="E256" s="225">
        <v>14</v>
      </c>
      <c r="F256" s="225" t="s">
        <v>684</v>
      </c>
      <c r="G256" s="184">
        <v>1</v>
      </c>
      <c r="H256" s="237" t="s">
        <v>23</v>
      </c>
      <c r="I256" s="238" t="s">
        <v>23</v>
      </c>
      <c r="J256" s="227"/>
      <c r="K256" s="227"/>
      <c r="L256" s="228" t="s">
        <v>23</v>
      </c>
    </row>
    <row r="257" spans="1:12" ht="12.3">
      <c r="A257" s="260">
        <v>42660</v>
      </c>
      <c r="B257" s="225" t="s">
        <v>1706</v>
      </c>
      <c r="C257" s="225" t="s">
        <v>83</v>
      </c>
      <c r="D257" s="225">
        <v>6.2</v>
      </c>
      <c r="E257" s="225">
        <v>9</v>
      </c>
      <c r="F257" s="225"/>
      <c r="G257" s="184">
        <v>2</v>
      </c>
      <c r="H257" s="237" t="s">
        <v>23</v>
      </c>
      <c r="I257" s="238">
        <v>3</v>
      </c>
      <c r="J257" s="227">
        <v>3000</v>
      </c>
      <c r="K257" s="227"/>
      <c r="L257" s="228" t="s">
        <v>23</v>
      </c>
    </row>
    <row r="258" spans="1:12" ht="12.3">
      <c r="A258" s="259">
        <v>42660</v>
      </c>
      <c r="B258" s="197" t="s">
        <v>1513</v>
      </c>
      <c r="C258" s="197" t="s">
        <v>67</v>
      </c>
      <c r="D258" s="197" t="s">
        <v>1652</v>
      </c>
      <c r="E258" s="197">
        <v>1</v>
      </c>
      <c r="F258" s="197"/>
      <c r="G258" s="184" t="s">
        <v>23</v>
      </c>
      <c r="H258" s="195">
        <v>6</v>
      </c>
      <c r="I258" s="219">
        <v>1</v>
      </c>
      <c r="J258" s="221"/>
      <c r="K258" s="221">
        <v>0</v>
      </c>
      <c r="L258" s="191" t="s">
        <v>23</v>
      </c>
    </row>
    <row r="259" spans="1:12" ht="12.3">
      <c r="A259" s="259">
        <v>42663</v>
      </c>
      <c r="B259" s="196" t="s">
        <v>1707</v>
      </c>
      <c r="C259" s="196" t="s">
        <v>216</v>
      </c>
      <c r="D259" s="197">
        <v>5.0999999999999996</v>
      </c>
      <c r="E259" s="197">
        <v>36</v>
      </c>
      <c r="F259" s="197"/>
      <c r="G259" s="184" t="s">
        <v>23</v>
      </c>
      <c r="H259" s="195" t="s">
        <v>23</v>
      </c>
      <c r="I259" s="219">
        <v>3</v>
      </c>
      <c r="J259" s="221"/>
      <c r="K259" s="221"/>
      <c r="L259" s="191" t="s">
        <v>23</v>
      </c>
    </row>
    <row r="260" spans="1:12" ht="12.3">
      <c r="A260" s="259">
        <v>42663</v>
      </c>
      <c r="B260" s="197" t="s">
        <v>1708</v>
      </c>
      <c r="C260" s="197" t="s">
        <v>17</v>
      </c>
      <c r="D260" s="197">
        <v>4.8</v>
      </c>
      <c r="E260" s="197">
        <v>10</v>
      </c>
      <c r="F260" s="197"/>
      <c r="G260" s="184" t="s">
        <v>23</v>
      </c>
      <c r="H260" s="195">
        <v>24</v>
      </c>
      <c r="I260" s="219">
        <v>2</v>
      </c>
      <c r="J260" s="221"/>
      <c r="K260" s="221"/>
      <c r="L260" s="191" t="s">
        <v>23</v>
      </c>
    </row>
    <row r="261" spans="1:12" ht="12.3">
      <c r="A261" s="259">
        <v>42664</v>
      </c>
      <c r="B261" s="196" t="s">
        <v>1709</v>
      </c>
      <c r="C261" s="196" t="s">
        <v>258</v>
      </c>
      <c r="D261" s="196">
        <v>6.6</v>
      </c>
      <c r="E261" s="197">
        <v>10</v>
      </c>
      <c r="F261" s="197" t="s">
        <v>454</v>
      </c>
      <c r="G261" s="184" t="s">
        <v>23</v>
      </c>
      <c r="H261" s="195">
        <v>30</v>
      </c>
      <c r="I261" s="219">
        <v>3</v>
      </c>
      <c r="J261" s="221">
        <v>12620</v>
      </c>
      <c r="K261" s="221">
        <v>12</v>
      </c>
      <c r="L261" s="191" t="s">
        <v>23</v>
      </c>
    </row>
    <row r="262" spans="1:12" ht="12.3">
      <c r="A262" s="259">
        <v>42664</v>
      </c>
      <c r="B262" s="197" t="s">
        <v>1710</v>
      </c>
      <c r="C262" s="197" t="s">
        <v>172</v>
      </c>
      <c r="D262" s="197">
        <v>4.3</v>
      </c>
      <c r="E262" s="197">
        <v>20</v>
      </c>
      <c r="F262" s="197"/>
      <c r="G262" s="184" t="s">
        <v>23</v>
      </c>
      <c r="H262" s="195" t="s">
        <v>23</v>
      </c>
      <c r="I262" s="219">
        <v>1</v>
      </c>
      <c r="J262" s="221"/>
      <c r="K262" s="221">
        <v>0</v>
      </c>
      <c r="L262" s="191" t="s">
        <v>23</v>
      </c>
    </row>
    <row r="263" spans="1:12" ht="12.3">
      <c r="A263" s="259">
        <v>42667</v>
      </c>
      <c r="B263" s="197" t="s">
        <v>1711</v>
      </c>
      <c r="C263" s="197" t="s">
        <v>1426</v>
      </c>
      <c r="D263" s="197">
        <v>4.2</v>
      </c>
      <c r="E263" s="197">
        <v>9</v>
      </c>
      <c r="F263" s="197" t="s">
        <v>134</v>
      </c>
      <c r="G263" s="184" t="s">
        <v>23</v>
      </c>
      <c r="H263" s="195" t="s">
        <v>23</v>
      </c>
      <c r="I263" s="219">
        <v>1</v>
      </c>
      <c r="J263" s="221">
        <v>1</v>
      </c>
      <c r="K263" s="221">
        <v>0</v>
      </c>
      <c r="L263" s="191" t="s">
        <v>23</v>
      </c>
    </row>
    <row r="264" spans="1:12" ht="12.3">
      <c r="A264" s="259">
        <v>42667</v>
      </c>
      <c r="B264" s="196" t="s">
        <v>1712</v>
      </c>
      <c r="C264" s="196" t="s">
        <v>1699</v>
      </c>
      <c r="D264" s="197">
        <v>4.8</v>
      </c>
      <c r="E264" s="197"/>
      <c r="F264" s="197"/>
      <c r="G264" s="184" t="s">
        <v>23</v>
      </c>
      <c r="H264" s="195"/>
      <c r="I264" s="219">
        <v>3</v>
      </c>
      <c r="J264" s="221"/>
      <c r="K264" s="221">
        <v>5</v>
      </c>
      <c r="L264" s="191" t="s">
        <v>23</v>
      </c>
    </row>
    <row r="265" spans="1:12" ht="12.3">
      <c r="A265" s="259">
        <v>42668</v>
      </c>
      <c r="B265" s="197" t="s">
        <v>1713</v>
      </c>
      <c r="C265" s="197" t="s">
        <v>17</v>
      </c>
      <c r="D265" s="197">
        <v>4.9000000000000004</v>
      </c>
      <c r="E265" s="197">
        <v>9</v>
      </c>
      <c r="F265" s="197"/>
      <c r="G265" s="184" t="s">
        <v>23</v>
      </c>
      <c r="H265" s="195" t="s">
        <v>23</v>
      </c>
      <c r="I265" s="219">
        <v>2</v>
      </c>
      <c r="J265" s="221">
        <v>79</v>
      </c>
      <c r="K265" s="221">
        <v>0</v>
      </c>
      <c r="L265" s="191" t="s">
        <v>23</v>
      </c>
    </row>
    <row r="266" spans="1:12" ht="12.3">
      <c r="A266" s="259">
        <v>42669</v>
      </c>
      <c r="B266" s="196" t="s">
        <v>1714</v>
      </c>
      <c r="C266" s="196" t="s">
        <v>199</v>
      </c>
      <c r="D266" s="197">
        <v>5.4</v>
      </c>
      <c r="E266" s="197">
        <v>9</v>
      </c>
      <c r="F266" s="197" t="s">
        <v>123</v>
      </c>
      <c r="G266" s="184" t="s">
        <v>23</v>
      </c>
      <c r="H266" s="195">
        <v>3</v>
      </c>
      <c r="I266" s="219">
        <v>3</v>
      </c>
      <c r="J266" s="221"/>
      <c r="K266" s="221"/>
      <c r="L266" s="191" t="s">
        <v>23</v>
      </c>
    </row>
    <row r="267" spans="1:12" ht="12.3">
      <c r="A267" s="260">
        <v>42669</v>
      </c>
      <c r="B267" s="225" t="s">
        <v>1714</v>
      </c>
      <c r="C267" s="225" t="s">
        <v>199</v>
      </c>
      <c r="D267" s="261">
        <v>42618</v>
      </c>
      <c r="E267" s="225">
        <v>8</v>
      </c>
      <c r="F267" s="225" t="s">
        <v>687</v>
      </c>
      <c r="G267" s="184">
        <v>1</v>
      </c>
      <c r="H267" s="237"/>
      <c r="I267" s="238">
        <v>4</v>
      </c>
      <c r="J267" s="227"/>
      <c r="K267" s="227"/>
      <c r="L267" s="228" t="s">
        <v>23</v>
      </c>
    </row>
    <row r="268" spans="1:12" ht="12.3">
      <c r="A268" s="259">
        <v>42671</v>
      </c>
      <c r="B268" s="196" t="s">
        <v>1715</v>
      </c>
      <c r="C268" s="196" t="s">
        <v>72</v>
      </c>
      <c r="D268" s="234">
        <v>5</v>
      </c>
      <c r="E268" s="197">
        <v>52</v>
      </c>
      <c r="F268" s="197" t="s">
        <v>134</v>
      </c>
      <c r="G268" s="184" t="s">
        <v>23</v>
      </c>
      <c r="H268" s="195">
        <v>1</v>
      </c>
      <c r="I268" s="219" t="s">
        <v>1511</v>
      </c>
      <c r="J268" s="221"/>
      <c r="K268" s="221"/>
      <c r="L268" s="191" t="s">
        <v>23</v>
      </c>
    </row>
    <row r="269" spans="1:12" ht="12.3">
      <c r="A269" s="259">
        <v>42671</v>
      </c>
      <c r="B269" s="197" t="s">
        <v>1708</v>
      </c>
      <c r="C269" s="197" t="s">
        <v>17</v>
      </c>
      <c r="D269" s="197">
        <v>4.7</v>
      </c>
      <c r="E269" s="197">
        <v>10</v>
      </c>
      <c r="F269" s="197"/>
      <c r="G269" s="184" t="s">
        <v>23</v>
      </c>
      <c r="H269" s="195">
        <v>10</v>
      </c>
      <c r="I269" s="219">
        <v>2</v>
      </c>
      <c r="J269" s="221"/>
      <c r="K269" s="221"/>
      <c r="L269" s="191" t="s">
        <v>23</v>
      </c>
    </row>
    <row r="270" spans="1:12" ht="12.3">
      <c r="A270" s="262">
        <v>42673</v>
      </c>
      <c r="B270" s="196" t="s">
        <v>1605</v>
      </c>
      <c r="C270" s="196" t="s">
        <v>199</v>
      </c>
      <c r="D270" s="196">
        <v>6.5</v>
      </c>
      <c r="E270" s="196">
        <v>9</v>
      </c>
      <c r="F270" s="196" t="s">
        <v>687</v>
      </c>
      <c r="G270" s="184" t="s">
        <v>23</v>
      </c>
      <c r="H270" s="195">
        <v>23</v>
      </c>
      <c r="I270" s="226">
        <v>5</v>
      </c>
      <c r="J270" s="247"/>
      <c r="K270" s="247"/>
      <c r="L270" s="263" t="s">
        <v>23</v>
      </c>
    </row>
    <row r="271" spans="1:12" ht="12.3">
      <c r="A271" s="259">
        <v>42674</v>
      </c>
      <c r="B271" s="196" t="s">
        <v>1716</v>
      </c>
      <c r="C271" s="196" t="s">
        <v>378</v>
      </c>
      <c r="D271" s="197">
        <v>5.4</v>
      </c>
      <c r="E271" s="197"/>
      <c r="F271" s="197"/>
      <c r="G271" s="184" t="s">
        <v>23</v>
      </c>
      <c r="H271" s="195" t="s">
        <v>23</v>
      </c>
      <c r="I271" s="219">
        <v>3</v>
      </c>
      <c r="J271" s="221">
        <v>32</v>
      </c>
      <c r="K271" s="221">
        <v>1</v>
      </c>
      <c r="L271" s="191" t="s">
        <v>23</v>
      </c>
    </row>
    <row r="272" spans="1:12" ht="12.3">
      <c r="A272" s="259">
        <v>42674</v>
      </c>
      <c r="B272" s="196" t="s">
        <v>1708</v>
      </c>
      <c r="C272" s="196" t="s">
        <v>17</v>
      </c>
      <c r="D272" s="197">
        <v>4.5999999999999996</v>
      </c>
      <c r="E272" s="197">
        <v>10</v>
      </c>
      <c r="F272" s="197"/>
      <c r="G272" s="184" t="s">
        <v>23</v>
      </c>
      <c r="H272" s="195">
        <v>3</v>
      </c>
      <c r="I272" s="219">
        <v>2</v>
      </c>
      <c r="J272" s="221"/>
      <c r="K272" s="221"/>
      <c r="L272" s="191" t="s">
        <v>23</v>
      </c>
    </row>
    <row r="273" spans="1:12" ht="12.3">
      <c r="A273" s="253">
        <v>42676</v>
      </c>
      <c r="B273" s="197" t="s">
        <v>1471</v>
      </c>
      <c r="C273" s="197" t="s">
        <v>39</v>
      </c>
      <c r="D273" s="197" t="s">
        <v>1717</v>
      </c>
      <c r="E273" s="197">
        <v>3</v>
      </c>
      <c r="F273" s="197" t="s">
        <v>35</v>
      </c>
      <c r="G273" s="184" t="s">
        <v>23</v>
      </c>
      <c r="H273" s="195" t="s">
        <v>23</v>
      </c>
      <c r="I273" s="219">
        <v>1</v>
      </c>
      <c r="J273" s="221"/>
      <c r="K273" s="221"/>
      <c r="L273" s="191" t="s">
        <v>23</v>
      </c>
    </row>
    <row r="274" spans="1:12" ht="12.3">
      <c r="A274" s="253">
        <v>42676</v>
      </c>
      <c r="B274" s="197" t="s">
        <v>1718</v>
      </c>
      <c r="C274" s="197" t="s">
        <v>105</v>
      </c>
      <c r="D274" s="197">
        <v>4.7</v>
      </c>
      <c r="E274" s="197">
        <v>5</v>
      </c>
      <c r="F274" s="197"/>
      <c r="G274" s="184" t="s">
        <v>23</v>
      </c>
      <c r="H274" s="195" t="s">
        <v>23</v>
      </c>
      <c r="I274" s="219" t="s">
        <v>1478</v>
      </c>
      <c r="J274" s="221"/>
      <c r="K274" s="221"/>
      <c r="L274" s="191" t="s">
        <v>23</v>
      </c>
    </row>
    <row r="275" spans="1:12" ht="12.3">
      <c r="A275" s="253">
        <v>42677</v>
      </c>
      <c r="B275" s="197" t="s">
        <v>1719</v>
      </c>
      <c r="C275" s="197" t="s">
        <v>726</v>
      </c>
      <c r="D275" s="234">
        <v>3</v>
      </c>
      <c r="E275" s="197">
        <v>5</v>
      </c>
      <c r="F275" s="197" t="s">
        <v>684</v>
      </c>
      <c r="G275" s="184" t="s">
        <v>23</v>
      </c>
      <c r="H275" s="195" t="s">
        <v>23</v>
      </c>
      <c r="I275" s="219">
        <v>1</v>
      </c>
      <c r="J275" s="221">
        <v>5</v>
      </c>
      <c r="K275" s="221"/>
      <c r="L275" s="191" t="s">
        <v>23</v>
      </c>
    </row>
    <row r="276" spans="1:12" ht="12.3">
      <c r="A276" s="253">
        <v>42678</v>
      </c>
      <c r="B276" s="196" t="s">
        <v>1720</v>
      </c>
      <c r="C276" s="196" t="s">
        <v>359</v>
      </c>
      <c r="D276" s="196">
        <v>6.4</v>
      </c>
      <c r="E276" s="197">
        <v>88</v>
      </c>
      <c r="F276" s="197" t="s">
        <v>123</v>
      </c>
      <c r="G276" s="184" t="s">
        <v>23</v>
      </c>
      <c r="H276" s="195">
        <v>2</v>
      </c>
      <c r="I276" s="219">
        <v>2</v>
      </c>
      <c r="J276" s="221"/>
      <c r="K276" s="221"/>
      <c r="L276" s="191" t="s">
        <v>23</v>
      </c>
    </row>
    <row r="277" spans="1:12" ht="12.3">
      <c r="A277" s="253">
        <v>42679</v>
      </c>
      <c r="B277" s="196" t="s">
        <v>1721</v>
      </c>
      <c r="C277" s="196" t="s">
        <v>44</v>
      </c>
      <c r="D277" s="197">
        <v>4.2</v>
      </c>
      <c r="E277" s="197">
        <v>10</v>
      </c>
      <c r="F277" s="197"/>
      <c r="G277" s="184" t="s">
        <v>23</v>
      </c>
      <c r="H277" s="195">
        <v>1</v>
      </c>
      <c r="I277" s="219">
        <v>3</v>
      </c>
      <c r="J277" s="221"/>
      <c r="K277" s="221">
        <v>1</v>
      </c>
      <c r="L277" s="191" t="s">
        <v>23</v>
      </c>
    </row>
    <row r="278" spans="1:12" ht="12.3">
      <c r="A278" s="253">
        <v>42681</v>
      </c>
      <c r="B278" s="196" t="s">
        <v>1471</v>
      </c>
      <c r="C278" s="196" t="s">
        <v>39</v>
      </c>
      <c r="D278" s="197" t="s">
        <v>1722</v>
      </c>
      <c r="E278" s="197">
        <v>5</v>
      </c>
      <c r="F278" s="197" t="s">
        <v>123</v>
      </c>
      <c r="G278" s="184" t="s">
        <v>23</v>
      </c>
      <c r="H278" s="195">
        <v>1</v>
      </c>
      <c r="I278" s="219" t="s">
        <v>1511</v>
      </c>
      <c r="J278" s="221"/>
      <c r="K278" s="221"/>
      <c r="L278" s="191" t="s">
        <v>23</v>
      </c>
    </row>
    <row r="279" spans="1:12" ht="12.3">
      <c r="A279" s="253">
        <v>42681</v>
      </c>
      <c r="B279" s="197" t="s">
        <v>1723</v>
      </c>
      <c r="C279" s="197" t="s">
        <v>726</v>
      </c>
      <c r="D279" s="197" t="s">
        <v>1724</v>
      </c>
      <c r="E279" s="197">
        <v>1</v>
      </c>
      <c r="F279" s="197" t="s">
        <v>790</v>
      </c>
      <c r="G279" s="184" t="s">
        <v>23</v>
      </c>
      <c r="H279" s="195" t="s">
        <v>23</v>
      </c>
      <c r="I279" s="219">
        <v>1</v>
      </c>
      <c r="J279" s="221">
        <v>1</v>
      </c>
      <c r="K279" s="221">
        <v>0</v>
      </c>
      <c r="L279" s="191" t="s">
        <v>23</v>
      </c>
    </row>
    <row r="280" spans="1:12" ht="12.3">
      <c r="A280" s="253">
        <v>42682</v>
      </c>
      <c r="B280" s="197" t="s">
        <v>1725</v>
      </c>
      <c r="C280" s="197" t="s">
        <v>359</v>
      </c>
      <c r="D280" s="196">
        <v>5.9</v>
      </c>
      <c r="E280" s="197">
        <v>15</v>
      </c>
      <c r="F280" s="197" t="s">
        <v>35</v>
      </c>
      <c r="G280" s="184" t="s">
        <v>23</v>
      </c>
      <c r="H280" s="195" t="s">
        <v>23</v>
      </c>
      <c r="I280" s="219">
        <v>1</v>
      </c>
      <c r="J280" s="221"/>
      <c r="K280" s="221">
        <v>0</v>
      </c>
      <c r="L280" s="191" t="s">
        <v>23</v>
      </c>
    </row>
    <row r="281" spans="1:12" ht="12.3">
      <c r="A281" s="260">
        <v>42687</v>
      </c>
      <c r="B281" s="225" t="s">
        <v>1726</v>
      </c>
      <c r="C281" s="225" t="s">
        <v>636</v>
      </c>
      <c r="D281" s="261">
        <v>42589</v>
      </c>
      <c r="E281" s="225">
        <v>15</v>
      </c>
      <c r="F281" s="225" t="s">
        <v>687</v>
      </c>
      <c r="G281" s="184">
        <v>2</v>
      </c>
      <c r="H281" s="237">
        <v>526</v>
      </c>
      <c r="I281" s="238">
        <v>4</v>
      </c>
      <c r="J281" s="227"/>
      <c r="K281" s="227"/>
      <c r="L281" s="228" t="s">
        <v>1727</v>
      </c>
    </row>
    <row r="282" spans="1:12" ht="12.3">
      <c r="A282" s="259">
        <v>42688</v>
      </c>
      <c r="B282" s="197" t="s">
        <v>1719</v>
      </c>
      <c r="C282" s="197" t="s">
        <v>726</v>
      </c>
      <c r="D282" s="197">
        <v>2.6</v>
      </c>
      <c r="E282" s="197">
        <v>6</v>
      </c>
      <c r="F282" s="197" t="s">
        <v>684</v>
      </c>
      <c r="G282" s="184" t="s">
        <v>23</v>
      </c>
      <c r="H282" s="195" t="s">
        <v>23</v>
      </c>
      <c r="I282" s="219">
        <v>1</v>
      </c>
      <c r="J282" s="221">
        <v>1</v>
      </c>
      <c r="K282" s="221">
        <v>0</v>
      </c>
      <c r="L282" s="191" t="s">
        <v>23</v>
      </c>
    </row>
    <row r="283" spans="1:12" ht="12.3">
      <c r="A283" s="259">
        <v>42689</v>
      </c>
      <c r="B283" s="197" t="s">
        <v>1504</v>
      </c>
      <c r="C283" s="197" t="s">
        <v>726</v>
      </c>
      <c r="D283" s="197" t="s">
        <v>1728</v>
      </c>
      <c r="E283" s="197">
        <v>5</v>
      </c>
      <c r="F283" s="197" t="s">
        <v>684</v>
      </c>
      <c r="G283" s="184" t="s">
        <v>23</v>
      </c>
      <c r="H283" s="195" t="s">
        <v>23</v>
      </c>
      <c r="I283" s="219">
        <v>1</v>
      </c>
      <c r="J283" s="221">
        <v>1</v>
      </c>
      <c r="K283" s="221">
        <v>0</v>
      </c>
      <c r="L283" s="191" t="s">
        <v>23</v>
      </c>
    </row>
    <row r="284" spans="1:12" ht="12.3">
      <c r="A284" s="259">
        <v>42689</v>
      </c>
      <c r="B284" s="197" t="s">
        <v>1663</v>
      </c>
      <c r="C284" s="197" t="s">
        <v>24</v>
      </c>
      <c r="D284" s="197">
        <v>4.4000000000000004</v>
      </c>
      <c r="E284" s="197"/>
      <c r="F284" s="197"/>
      <c r="G284" s="184" t="s">
        <v>23</v>
      </c>
      <c r="H284" s="195" t="s">
        <v>23</v>
      </c>
      <c r="I284" s="219">
        <v>1</v>
      </c>
      <c r="J284" s="221"/>
      <c r="K284" s="221">
        <v>0</v>
      </c>
      <c r="L284" s="191" t="s">
        <v>23</v>
      </c>
    </row>
    <row r="285" spans="1:12" ht="12.3">
      <c r="A285" s="259">
        <v>42690</v>
      </c>
      <c r="B285" s="196" t="s">
        <v>1729</v>
      </c>
      <c r="C285" s="196" t="s">
        <v>44</v>
      </c>
      <c r="D285" s="196">
        <v>6.2</v>
      </c>
      <c r="E285" s="197"/>
      <c r="F285" s="197"/>
      <c r="G285" s="184" t="s">
        <v>23</v>
      </c>
      <c r="H285" s="195">
        <v>1</v>
      </c>
      <c r="I285" s="219">
        <v>2</v>
      </c>
      <c r="J285" s="221">
        <v>37</v>
      </c>
      <c r="K285" s="221">
        <v>1</v>
      </c>
      <c r="L285" s="191" t="s">
        <v>23</v>
      </c>
    </row>
    <row r="286" spans="1:12" ht="12.3">
      <c r="A286" s="259">
        <v>42690</v>
      </c>
      <c r="B286" s="197" t="s">
        <v>1730</v>
      </c>
      <c r="C286" s="197" t="s">
        <v>317</v>
      </c>
      <c r="D286" s="197">
        <v>3.1</v>
      </c>
      <c r="E286" s="197">
        <v>5</v>
      </c>
      <c r="F286" s="197"/>
      <c r="G286" s="184" t="s">
        <v>23</v>
      </c>
      <c r="H286" s="195" t="s">
        <v>23</v>
      </c>
      <c r="I286" s="219">
        <v>1</v>
      </c>
      <c r="J286" s="221"/>
      <c r="K286" s="221">
        <v>0</v>
      </c>
      <c r="L286" s="191" t="s">
        <v>23</v>
      </c>
    </row>
    <row r="287" spans="1:12" ht="12.3">
      <c r="A287" s="259">
        <v>42691</v>
      </c>
      <c r="B287" s="197" t="s">
        <v>1526</v>
      </c>
      <c r="C287" s="197" t="s">
        <v>83</v>
      </c>
      <c r="D287" s="197">
        <v>4.4000000000000004</v>
      </c>
      <c r="E287" s="197"/>
      <c r="F287" s="197"/>
      <c r="G287" s="184" t="s">
        <v>23</v>
      </c>
      <c r="H287" s="195" t="s">
        <v>23</v>
      </c>
      <c r="I287" s="219">
        <v>2</v>
      </c>
      <c r="J287" s="221">
        <v>3300</v>
      </c>
      <c r="K287" s="221">
        <v>0</v>
      </c>
      <c r="L287" s="191" t="s">
        <v>23</v>
      </c>
    </row>
    <row r="288" spans="1:12" ht="12.3">
      <c r="A288" s="259">
        <v>42691</v>
      </c>
      <c r="B288" s="196" t="s">
        <v>1706</v>
      </c>
      <c r="C288" s="196" t="s">
        <v>83</v>
      </c>
      <c r="D288" s="197">
        <v>4.8</v>
      </c>
      <c r="E288" s="197">
        <v>5</v>
      </c>
      <c r="F288" s="197"/>
      <c r="G288" s="184" t="s">
        <v>23</v>
      </c>
      <c r="H288" s="195">
        <v>4</v>
      </c>
      <c r="I288" s="219">
        <v>3</v>
      </c>
      <c r="J288" s="221">
        <v>421</v>
      </c>
      <c r="K288" s="221">
        <v>18</v>
      </c>
      <c r="L288" s="191" t="s">
        <v>23</v>
      </c>
    </row>
    <row r="289" spans="1:12" ht="12.3">
      <c r="A289" s="259">
        <v>42694</v>
      </c>
      <c r="B289" s="196" t="s">
        <v>1583</v>
      </c>
      <c r="C289" s="196" t="s">
        <v>83</v>
      </c>
      <c r="D289" s="258">
        <v>42372</v>
      </c>
      <c r="E289" s="197">
        <v>6</v>
      </c>
      <c r="F289" s="197"/>
      <c r="G289" s="184" t="s">
        <v>23</v>
      </c>
      <c r="H289" s="195" t="s">
        <v>23</v>
      </c>
      <c r="I289" s="219">
        <v>2</v>
      </c>
      <c r="J289" s="221">
        <v>100</v>
      </c>
      <c r="K289" s="221">
        <v>0</v>
      </c>
      <c r="L289" s="191" t="s">
        <v>23</v>
      </c>
    </row>
    <row r="290" spans="1:12" ht="12.3">
      <c r="A290" s="259">
        <v>42694</v>
      </c>
      <c r="B290" s="196" t="s">
        <v>1731</v>
      </c>
      <c r="C290" s="196" t="s">
        <v>76</v>
      </c>
      <c r="D290" s="196">
        <v>6.4</v>
      </c>
      <c r="E290" s="197">
        <v>130</v>
      </c>
      <c r="F290" s="197"/>
      <c r="G290" s="184" t="s">
        <v>23</v>
      </c>
      <c r="H290" s="195" t="s">
        <v>23</v>
      </c>
      <c r="I290" s="219">
        <v>2</v>
      </c>
      <c r="J290" s="221">
        <v>30</v>
      </c>
      <c r="K290" s="221">
        <v>1</v>
      </c>
      <c r="L290" s="191" t="s">
        <v>23</v>
      </c>
    </row>
    <row r="291" spans="1:12" ht="12.3">
      <c r="A291" s="259">
        <v>42695</v>
      </c>
      <c r="B291" s="196" t="s">
        <v>1732</v>
      </c>
      <c r="C291" s="196" t="s">
        <v>258</v>
      </c>
      <c r="D291" s="196">
        <v>7.4</v>
      </c>
      <c r="E291" s="197">
        <v>25</v>
      </c>
      <c r="F291" s="197" t="s">
        <v>1503</v>
      </c>
      <c r="G291" s="184" t="s">
        <v>23</v>
      </c>
      <c r="H291" s="195">
        <v>20</v>
      </c>
      <c r="I291" s="219">
        <v>1</v>
      </c>
      <c r="J291" s="221">
        <v>2</v>
      </c>
      <c r="K291" s="221"/>
      <c r="L291" s="191" t="s">
        <v>1733</v>
      </c>
    </row>
    <row r="292" spans="1:12" ht="12.3">
      <c r="A292" s="259">
        <v>42696</v>
      </c>
      <c r="B292" s="196" t="s">
        <v>1734</v>
      </c>
      <c r="C292" s="196" t="s">
        <v>636</v>
      </c>
      <c r="D292" s="264">
        <v>42556</v>
      </c>
      <c r="E292" s="197">
        <v>7</v>
      </c>
      <c r="F292" s="197" t="s">
        <v>363</v>
      </c>
      <c r="G292" s="184" t="s">
        <v>23</v>
      </c>
      <c r="H292" s="195" t="s">
        <v>23</v>
      </c>
      <c r="I292" s="219" t="s">
        <v>1511</v>
      </c>
      <c r="J292" s="221"/>
      <c r="K292" s="221">
        <v>1</v>
      </c>
      <c r="L292" s="191" t="s">
        <v>23</v>
      </c>
    </row>
    <row r="293" spans="1:12" ht="12.3">
      <c r="A293" s="259">
        <v>42696</v>
      </c>
      <c r="B293" s="197" t="s">
        <v>1735</v>
      </c>
      <c r="C293" s="197" t="s">
        <v>172</v>
      </c>
      <c r="D293" s="258">
        <v>42617</v>
      </c>
      <c r="E293" s="197"/>
      <c r="F293" s="197" t="s">
        <v>1736</v>
      </c>
      <c r="G293" s="184" t="s">
        <v>23</v>
      </c>
      <c r="H293" s="195" t="s">
        <v>23</v>
      </c>
      <c r="I293" s="219">
        <v>1</v>
      </c>
      <c r="J293" s="221">
        <v>3</v>
      </c>
      <c r="K293" s="221">
        <v>0</v>
      </c>
      <c r="L293" s="191" t="s">
        <v>23</v>
      </c>
    </row>
    <row r="294" spans="1:12" ht="12.3">
      <c r="A294" s="259">
        <v>42697</v>
      </c>
      <c r="B294" s="197" t="s">
        <v>1526</v>
      </c>
      <c r="C294" s="197" t="s">
        <v>83</v>
      </c>
      <c r="D294" s="197">
        <v>4.2</v>
      </c>
      <c r="E294" s="197">
        <v>6</v>
      </c>
      <c r="F294" s="197"/>
      <c r="G294" s="184" t="s">
        <v>23</v>
      </c>
      <c r="H294" s="195" t="s">
        <v>23</v>
      </c>
      <c r="I294" s="219" t="s">
        <v>1478</v>
      </c>
      <c r="J294" s="221">
        <v>400</v>
      </c>
      <c r="K294" s="221">
        <v>0</v>
      </c>
      <c r="L294" s="191" t="s">
        <v>23</v>
      </c>
    </row>
    <row r="295" spans="1:12" ht="12.3">
      <c r="A295" s="260">
        <v>42698</v>
      </c>
      <c r="B295" s="225" t="s">
        <v>1737</v>
      </c>
      <c r="C295" s="225" t="s">
        <v>404</v>
      </c>
      <c r="D295" s="245">
        <v>7</v>
      </c>
      <c r="E295" s="225"/>
      <c r="F295" s="225" t="s">
        <v>134</v>
      </c>
      <c r="G295" s="184">
        <v>1</v>
      </c>
      <c r="H295" s="237" t="s">
        <v>1738</v>
      </c>
      <c r="I295" s="238" t="s">
        <v>1478</v>
      </c>
      <c r="J295" s="227"/>
      <c r="K295" s="227">
        <v>0</v>
      </c>
      <c r="L295" s="228" t="s">
        <v>1739</v>
      </c>
    </row>
    <row r="296" spans="1:12" ht="12.3">
      <c r="A296" s="260">
        <v>42699</v>
      </c>
      <c r="B296" s="225" t="s">
        <v>1481</v>
      </c>
      <c r="C296" s="225" t="s">
        <v>83</v>
      </c>
      <c r="D296" s="225">
        <v>6.7</v>
      </c>
      <c r="E296" s="225"/>
      <c r="F296" s="225" t="s">
        <v>363</v>
      </c>
      <c r="G296" s="184">
        <v>1</v>
      </c>
      <c r="H296" s="237" t="s">
        <v>23</v>
      </c>
      <c r="I296" s="238">
        <v>4</v>
      </c>
      <c r="J296" s="227">
        <v>600</v>
      </c>
      <c r="K296" s="227">
        <v>252</v>
      </c>
      <c r="L296" s="228" t="s">
        <v>23</v>
      </c>
    </row>
    <row r="297" spans="1:12" ht="12.3">
      <c r="A297" s="260">
        <v>42701</v>
      </c>
      <c r="B297" s="225" t="s">
        <v>1740</v>
      </c>
      <c r="C297" s="225" t="s">
        <v>1001</v>
      </c>
      <c r="D297" s="225">
        <v>5.6</v>
      </c>
      <c r="E297" s="225"/>
      <c r="F297" s="225"/>
      <c r="G297" s="184">
        <v>1</v>
      </c>
      <c r="H297" s="237">
        <v>2</v>
      </c>
      <c r="I297" s="238">
        <v>3</v>
      </c>
      <c r="J297" s="227"/>
      <c r="K297" s="227">
        <v>1</v>
      </c>
      <c r="L297" s="228" t="s">
        <v>23</v>
      </c>
    </row>
    <row r="298" spans="1:12" ht="12.3">
      <c r="A298" s="260">
        <v>42703</v>
      </c>
      <c r="B298" s="225" t="s">
        <v>1513</v>
      </c>
      <c r="C298" s="225" t="s">
        <v>67</v>
      </c>
      <c r="D298" s="225" t="s">
        <v>1717</v>
      </c>
      <c r="E298" s="225">
        <v>1.5</v>
      </c>
      <c r="F298" s="225"/>
      <c r="G298" s="184">
        <v>8</v>
      </c>
      <c r="H298" s="237">
        <v>20</v>
      </c>
      <c r="I298" s="238"/>
      <c r="J298" s="227"/>
      <c r="K298" s="227">
        <v>0</v>
      </c>
      <c r="L298" s="228" t="s">
        <v>23</v>
      </c>
    </row>
    <row r="299" spans="1:12" ht="12.3">
      <c r="A299" s="253">
        <v>42705</v>
      </c>
      <c r="B299" s="196" t="s">
        <v>1741</v>
      </c>
      <c r="C299" s="196" t="s">
        <v>241</v>
      </c>
      <c r="D299" s="197">
        <v>5.3</v>
      </c>
      <c r="E299" s="197">
        <v>2</v>
      </c>
      <c r="F299" s="197"/>
      <c r="G299" s="184" t="s">
        <v>23</v>
      </c>
      <c r="H299" s="195">
        <v>1</v>
      </c>
      <c r="I299" s="219" t="s">
        <v>1511</v>
      </c>
      <c r="J299" s="221">
        <v>64</v>
      </c>
      <c r="K299" s="221">
        <v>2</v>
      </c>
      <c r="L299" s="191" t="s">
        <v>23</v>
      </c>
    </row>
    <row r="300" spans="1:12" ht="12.3">
      <c r="A300" s="253">
        <v>42705</v>
      </c>
      <c r="B300" s="196" t="s">
        <v>1708</v>
      </c>
      <c r="C300" s="196" t="s">
        <v>17</v>
      </c>
      <c r="D300" s="234">
        <v>5</v>
      </c>
      <c r="E300" s="197">
        <v>10</v>
      </c>
      <c r="F300" s="197"/>
      <c r="G300" s="184" t="s">
        <v>23</v>
      </c>
      <c r="H300" s="195">
        <v>1</v>
      </c>
      <c r="I300" s="219" t="s">
        <v>1511</v>
      </c>
      <c r="J300" s="221"/>
      <c r="K300" s="221"/>
      <c r="L300" s="191" t="s">
        <v>23</v>
      </c>
    </row>
    <row r="301" spans="1:12" ht="12.3">
      <c r="A301" s="253">
        <v>42705</v>
      </c>
      <c r="B301" s="197" t="s">
        <v>1742</v>
      </c>
      <c r="C301" s="197" t="s">
        <v>24</v>
      </c>
      <c r="D301" s="197">
        <v>5.2</v>
      </c>
      <c r="E301" s="197"/>
      <c r="F301" s="197"/>
      <c r="G301" s="184" t="s">
        <v>23</v>
      </c>
      <c r="H301" s="195" t="s">
        <v>23</v>
      </c>
      <c r="I301" s="219" t="s">
        <v>1478</v>
      </c>
      <c r="J301" s="221"/>
      <c r="K301" s="221"/>
      <c r="L301" s="191" t="s">
        <v>23</v>
      </c>
    </row>
    <row r="302" spans="1:12" ht="12.3">
      <c r="A302" s="254">
        <v>42705</v>
      </c>
      <c r="B302" s="225" t="s">
        <v>1743</v>
      </c>
      <c r="C302" s="225" t="s">
        <v>72</v>
      </c>
      <c r="D302" s="225">
        <v>5.6</v>
      </c>
      <c r="E302" s="225">
        <v>11</v>
      </c>
      <c r="F302" s="225" t="s">
        <v>35</v>
      </c>
      <c r="G302" s="184">
        <v>1</v>
      </c>
      <c r="H302" s="237">
        <v>22</v>
      </c>
      <c r="I302" s="238" t="s">
        <v>1653</v>
      </c>
      <c r="J302" s="227">
        <v>1540</v>
      </c>
      <c r="K302" s="227">
        <v>597</v>
      </c>
      <c r="L302" s="228" t="s">
        <v>23</v>
      </c>
    </row>
    <row r="303" spans="1:12" ht="12.3">
      <c r="A303" s="265">
        <v>42708</v>
      </c>
      <c r="B303" s="240" t="s">
        <v>1583</v>
      </c>
      <c r="C303" s="240" t="s">
        <v>83</v>
      </c>
      <c r="D303" s="241">
        <v>5.0999999999999996</v>
      </c>
      <c r="E303" s="241"/>
      <c r="F303" s="241"/>
      <c r="G303" s="222" t="s">
        <v>23</v>
      </c>
      <c r="H303" s="223" t="s">
        <v>23</v>
      </c>
      <c r="I303" s="219">
        <v>3</v>
      </c>
      <c r="J303" s="242">
        <v>242</v>
      </c>
      <c r="K303" s="242">
        <v>5</v>
      </c>
      <c r="L303" s="243" t="s">
        <v>23</v>
      </c>
    </row>
    <row r="304" spans="1:12" ht="12.3">
      <c r="A304" s="265">
        <v>42709</v>
      </c>
      <c r="B304" s="241" t="s">
        <v>1744</v>
      </c>
      <c r="C304" s="241" t="s">
        <v>521</v>
      </c>
      <c r="D304" s="240"/>
      <c r="E304" s="241"/>
      <c r="F304" s="241"/>
      <c r="G304" s="222" t="s">
        <v>23</v>
      </c>
      <c r="H304" s="223" t="s">
        <v>23</v>
      </c>
      <c r="I304" s="219">
        <v>2</v>
      </c>
      <c r="J304" s="242">
        <v>20</v>
      </c>
      <c r="K304" s="242">
        <v>0</v>
      </c>
      <c r="L304" s="243" t="s">
        <v>23</v>
      </c>
    </row>
    <row r="305" spans="1:12" ht="12.3">
      <c r="A305" s="265">
        <v>42710</v>
      </c>
      <c r="B305" s="241" t="s">
        <v>1745</v>
      </c>
      <c r="C305" s="241" t="s">
        <v>1250</v>
      </c>
      <c r="D305" s="240">
        <v>5.9</v>
      </c>
      <c r="E305" s="241">
        <v>34</v>
      </c>
      <c r="F305" s="241" t="s">
        <v>134</v>
      </c>
      <c r="G305" s="222" t="s">
        <v>23</v>
      </c>
      <c r="H305" s="223" t="s">
        <v>23</v>
      </c>
      <c r="I305" s="219">
        <v>1</v>
      </c>
      <c r="J305" s="242"/>
      <c r="K305" s="242"/>
      <c r="L305" s="243" t="s">
        <v>23</v>
      </c>
    </row>
    <row r="306" spans="1:12" ht="12.3">
      <c r="A306" s="260">
        <v>42710</v>
      </c>
      <c r="B306" s="225" t="s">
        <v>1746</v>
      </c>
      <c r="C306" s="225" t="s">
        <v>44</v>
      </c>
      <c r="D306" s="225">
        <v>6.4</v>
      </c>
      <c r="E306" s="225">
        <v>8</v>
      </c>
      <c r="F306" s="225" t="s">
        <v>363</v>
      </c>
      <c r="G306" s="184">
        <v>103</v>
      </c>
      <c r="H306" s="237">
        <v>857</v>
      </c>
      <c r="I306" s="238">
        <v>5</v>
      </c>
      <c r="J306" s="227">
        <v>19130</v>
      </c>
      <c r="K306" s="227"/>
      <c r="L306" s="228" t="s">
        <v>23</v>
      </c>
    </row>
    <row r="307" spans="1:12" ht="12.3">
      <c r="A307" s="253">
        <v>42712</v>
      </c>
      <c r="B307" s="196" t="s">
        <v>1481</v>
      </c>
      <c r="C307" s="196" t="s">
        <v>83</v>
      </c>
      <c r="D307" s="196">
        <v>6.2</v>
      </c>
      <c r="E307" s="197">
        <v>6</v>
      </c>
      <c r="F307" s="197" t="s">
        <v>363</v>
      </c>
      <c r="G307" s="184" t="s">
        <v>23</v>
      </c>
      <c r="H307" s="195">
        <v>2</v>
      </c>
      <c r="I307" s="219">
        <v>3</v>
      </c>
      <c r="J307" s="221">
        <v>13900</v>
      </c>
      <c r="K307" s="221">
        <v>40</v>
      </c>
      <c r="L307" s="191" t="s">
        <v>23</v>
      </c>
    </row>
    <row r="308" spans="1:12" ht="12.3">
      <c r="A308" s="254">
        <v>42712</v>
      </c>
      <c r="B308" s="225" t="s">
        <v>1747</v>
      </c>
      <c r="C308" s="225" t="s">
        <v>1748</v>
      </c>
      <c r="D308" s="225">
        <v>7.8</v>
      </c>
      <c r="E308" s="225">
        <v>40</v>
      </c>
      <c r="F308" s="225" t="s">
        <v>363</v>
      </c>
      <c r="G308" s="184">
        <v>1</v>
      </c>
      <c r="H308" s="237">
        <v>1</v>
      </c>
      <c r="I308" s="238">
        <v>4</v>
      </c>
      <c r="J308" s="227">
        <v>220</v>
      </c>
      <c r="K308" s="227">
        <v>246</v>
      </c>
      <c r="L308" s="228" t="s">
        <v>1749</v>
      </c>
    </row>
    <row r="309" spans="1:12" ht="12.3">
      <c r="A309" s="253">
        <v>42713</v>
      </c>
      <c r="B309" s="197" t="s">
        <v>1750</v>
      </c>
      <c r="C309" s="197" t="s">
        <v>44</v>
      </c>
      <c r="D309" s="234">
        <v>5</v>
      </c>
      <c r="E309" s="197"/>
      <c r="F309" s="197"/>
      <c r="G309" s="184" t="s">
        <v>23</v>
      </c>
      <c r="H309" s="195" t="s">
        <v>23</v>
      </c>
      <c r="I309" s="219"/>
      <c r="J309" s="221"/>
      <c r="K309" s="221">
        <v>1</v>
      </c>
      <c r="L309" s="191" t="s">
        <v>23</v>
      </c>
    </row>
    <row r="310" spans="1:12" ht="12.3">
      <c r="A310" s="253">
        <v>42713</v>
      </c>
      <c r="B310" s="197" t="s">
        <v>1751</v>
      </c>
      <c r="C310" s="197" t="s">
        <v>199</v>
      </c>
      <c r="D310" s="234">
        <v>4</v>
      </c>
      <c r="E310" s="197">
        <v>8</v>
      </c>
      <c r="F310" s="197"/>
      <c r="G310" s="184" t="s">
        <v>23</v>
      </c>
      <c r="H310" s="195" t="s">
        <v>23</v>
      </c>
      <c r="I310" s="219">
        <v>1</v>
      </c>
      <c r="J310" s="221">
        <v>2</v>
      </c>
      <c r="K310" s="221">
        <v>0</v>
      </c>
      <c r="L310" s="191" t="s">
        <v>23</v>
      </c>
    </row>
    <row r="311" spans="1:12" ht="12.3">
      <c r="A311" s="253">
        <v>42713</v>
      </c>
      <c r="B311" s="197" t="s">
        <v>1752</v>
      </c>
      <c r="C311" s="197" t="s">
        <v>132</v>
      </c>
      <c r="D311" s="197">
        <v>4.5999999999999996</v>
      </c>
      <c r="E311" s="197"/>
      <c r="F311" s="197" t="s">
        <v>35</v>
      </c>
      <c r="G311" s="184" t="s">
        <v>23</v>
      </c>
      <c r="H311" s="195" t="s">
        <v>23</v>
      </c>
      <c r="I311" s="219">
        <v>2</v>
      </c>
      <c r="J311" s="221"/>
      <c r="K311" s="221"/>
      <c r="L311" s="191" t="s">
        <v>23</v>
      </c>
    </row>
    <row r="312" spans="1:12" ht="12.3">
      <c r="A312" s="253">
        <v>42713</v>
      </c>
      <c r="B312" s="197" t="s">
        <v>1753</v>
      </c>
      <c r="C312" s="197"/>
      <c r="D312" s="196">
        <v>7.1</v>
      </c>
      <c r="E312" s="197">
        <v>40</v>
      </c>
      <c r="F312" s="197" t="s">
        <v>363</v>
      </c>
      <c r="G312" s="184"/>
      <c r="H312" s="195"/>
      <c r="I312" s="219"/>
      <c r="J312" s="221"/>
      <c r="K312" s="221"/>
      <c r="L312" s="191" t="s">
        <v>1640</v>
      </c>
    </row>
    <row r="313" spans="1:12" ht="12.3">
      <c r="A313" s="259">
        <v>42716</v>
      </c>
      <c r="B313" s="197" t="s">
        <v>1754</v>
      </c>
      <c r="C313" s="197" t="s">
        <v>172</v>
      </c>
      <c r="D313" s="197">
        <v>4.4000000000000004</v>
      </c>
      <c r="E313" s="197">
        <v>15</v>
      </c>
      <c r="F313" s="197"/>
      <c r="G313" s="184" t="s">
        <v>23</v>
      </c>
      <c r="H313" s="195" t="s">
        <v>23</v>
      </c>
      <c r="I313" s="219">
        <v>1</v>
      </c>
      <c r="J313" s="221">
        <v>1</v>
      </c>
      <c r="K313" s="221">
        <v>0</v>
      </c>
      <c r="L313" s="191" t="s">
        <v>23</v>
      </c>
    </row>
    <row r="314" spans="1:12" ht="12.3">
      <c r="A314" s="259">
        <v>42716</v>
      </c>
      <c r="B314" s="197" t="s">
        <v>1755</v>
      </c>
      <c r="C314" s="197" t="s">
        <v>29</v>
      </c>
      <c r="D314" s="197">
        <v>5.0999999999999996</v>
      </c>
      <c r="E314" s="197"/>
      <c r="F314" s="197"/>
      <c r="G314" s="184" t="s">
        <v>23</v>
      </c>
      <c r="H314" s="195">
        <v>1</v>
      </c>
      <c r="I314" s="219">
        <v>1</v>
      </c>
      <c r="J314" s="221">
        <v>1</v>
      </c>
      <c r="K314" s="221">
        <v>0</v>
      </c>
      <c r="L314" s="191" t="s">
        <v>23</v>
      </c>
    </row>
    <row r="315" spans="1:12" ht="12.3">
      <c r="A315" s="259">
        <v>42717</v>
      </c>
      <c r="B315" s="197" t="s">
        <v>1756</v>
      </c>
      <c r="C315" s="197" t="s">
        <v>419</v>
      </c>
      <c r="D315" s="197">
        <v>4.4000000000000004</v>
      </c>
      <c r="E315" s="197"/>
      <c r="F315" s="197"/>
      <c r="G315" s="184" t="s">
        <v>23</v>
      </c>
      <c r="H315" s="195" t="s">
        <v>23</v>
      </c>
      <c r="I315" s="219" t="s">
        <v>1478</v>
      </c>
      <c r="J315" s="221"/>
      <c r="K315" s="221"/>
      <c r="L315" s="191" t="s">
        <v>23</v>
      </c>
    </row>
    <row r="316" spans="1:12" ht="12.3">
      <c r="A316" s="259">
        <v>42718</v>
      </c>
      <c r="B316" s="196" t="s">
        <v>1481</v>
      </c>
      <c r="C316" s="196" t="s">
        <v>83</v>
      </c>
      <c r="D316" s="234">
        <v>5</v>
      </c>
      <c r="E316" s="197"/>
      <c r="F316" s="197"/>
      <c r="G316" s="184" t="s">
        <v>23</v>
      </c>
      <c r="H316" s="195" t="s">
        <v>23</v>
      </c>
      <c r="I316" s="219">
        <v>3</v>
      </c>
      <c r="J316" s="221">
        <v>100</v>
      </c>
      <c r="K316" s="221">
        <v>30</v>
      </c>
      <c r="L316" s="191" t="s">
        <v>23</v>
      </c>
    </row>
    <row r="317" spans="1:12" ht="12.3">
      <c r="A317" s="259">
        <v>42718</v>
      </c>
      <c r="B317" s="197" t="s">
        <v>1757</v>
      </c>
      <c r="C317" s="197" t="s">
        <v>1409</v>
      </c>
      <c r="D317" s="197"/>
      <c r="E317" s="197"/>
      <c r="F317" s="197"/>
      <c r="G317" s="184" t="s">
        <v>23</v>
      </c>
      <c r="H317" s="195" t="s">
        <v>23</v>
      </c>
      <c r="I317" s="219" t="s">
        <v>1478</v>
      </c>
      <c r="J317" s="221"/>
      <c r="K317" s="221"/>
      <c r="L317" s="191" t="s">
        <v>23</v>
      </c>
    </row>
    <row r="318" spans="1:12" ht="12.3">
      <c r="A318" s="259">
        <v>42719</v>
      </c>
      <c r="B318" s="196" t="s">
        <v>1758</v>
      </c>
      <c r="C318" s="196" t="s">
        <v>72</v>
      </c>
      <c r="D318" s="197">
        <v>4.5</v>
      </c>
      <c r="E318" s="197"/>
      <c r="F318" s="197" t="s">
        <v>1364</v>
      </c>
      <c r="G318" s="184" t="s">
        <v>23</v>
      </c>
      <c r="H318" s="195" t="s">
        <v>23</v>
      </c>
      <c r="I318" s="219">
        <v>3</v>
      </c>
      <c r="J318" s="221"/>
      <c r="K318" s="221">
        <v>19</v>
      </c>
      <c r="L318" s="191" t="s">
        <v>23</v>
      </c>
    </row>
    <row r="319" spans="1:12" ht="12.3">
      <c r="A319" s="259">
        <v>42719</v>
      </c>
      <c r="B319" s="197" t="s">
        <v>1759</v>
      </c>
      <c r="C319" s="197" t="s">
        <v>1217</v>
      </c>
      <c r="D319" s="197">
        <v>5.2</v>
      </c>
      <c r="E319" s="197"/>
      <c r="F319" s="197"/>
      <c r="G319" s="184" t="s">
        <v>23</v>
      </c>
      <c r="H319" s="195" t="s">
        <v>23</v>
      </c>
      <c r="I319" s="219">
        <v>1</v>
      </c>
      <c r="J319" s="221">
        <v>1</v>
      </c>
      <c r="K319" s="221">
        <v>0</v>
      </c>
      <c r="L319" s="191" t="s">
        <v>23</v>
      </c>
    </row>
    <row r="320" spans="1:12" ht="12.3">
      <c r="A320" s="259">
        <v>42720</v>
      </c>
      <c r="B320" s="197" t="s">
        <v>1513</v>
      </c>
      <c r="C320" s="197" t="s">
        <v>67</v>
      </c>
      <c r="D320" s="258">
        <v>42525</v>
      </c>
      <c r="E320" s="197">
        <v>1</v>
      </c>
      <c r="F320" s="197" t="s">
        <v>123</v>
      </c>
      <c r="G320" s="184" t="s">
        <v>23</v>
      </c>
      <c r="H320" s="195" t="s">
        <v>23</v>
      </c>
      <c r="I320" s="219">
        <v>1</v>
      </c>
      <c r="J320" s="221"/>
      <c r="K320" s="221"/>
      <c r="L320" s="191" t="s">
        <v>23</v>
      </c>
    </row>
    <row r="321" spans="1:12" ht="12.3">
      <c r="A321" s="259">
        <v>42720</v>
      </c>
      <c r="B321" s="197" t="s">
        <v>1760</v>
      </c>
      <c r="C321" s="197" t="s">
        <v>105</v>
      </c>
      <c r="D321" s="197">
        <v>4.5</v>
      </c>
      <c r="E321" s="197">
        <v>5</v>
      </c>
      <c r="F321" s="197"/>
      <c r="G321" s="184" t="s">
        <v>23</v>
      </c>
      <c r="H321" s="195" t="s">
        <v>23</v>
      </c>
      <c r="I321" s="219" t="s">
        <v>1478</v>
      </c>
      <c r="J321" s="221"/>
      <c r="K321" s="221"/>
      <c r="L321" s="191" t="s">
        <v>23</v>
      </c>
    </row>
    <row r="322" spans="1:12" ht="12.3">
      <c r="A322" s="259">
        <v>42721</v>
      </c>
      <c r="B322" s="196" t="s">
        <v>1761</v>
      </c>
      <c r="C322" s="196" t="s">
        <v>583</v>
      </c>
      <c r="D322" s="196">
        <v>7.9</v>
      </c>
      <c r="E322" s="197">
        <v>103</v>
      </c>
      <c r="F322" s="197" t="s">
        <v>363</v>
      </c>
      <c r="G322" s="184" t="s">
        <v>23</v>
      </c>
      <c r="H322" s="195" t="s">
        <v>23</v>
      </c>
      <c r="I322" s="219" t="s">
        <v>1478</v>
      </c>
      <c r="J322" s="221"/>
      <c r="K322" s="221"/>
      <c r="L322" s="191" t="s">
        <v>1762</v>
      </c>
    </row>
    <row r="323" spans="1:12" ht="12.3">
      <c r="A323" s="259">
        <v>42721</v>
      </c>
      <c r="B323" s="196" t="s">
        <v>1763</v>
      </c>
      <c r="C323" s="196" t="s">
        <v>216</v>
      </c>
      <c r="D323" s="197">
        <v>4.5999999999999996</v>
      </c>
      <c r="E323" s="197"/>
      <c r="F323" s="197"/>
      <c r="G323" s="184" t="s">
        <v>23</v>
      </c>
      <c r="H323" s="195">
        <v>1</v>
      </c>
      <c r="I323" s="219">
        <v>3</v>
      </c>
      <c r="J323" s="221"/>
      <c r="K323" s="221"/>
      <c r="L323" s="191" t="s">
        <v>23</v>
      </c>
    </row>
    <row r="324" spans="1:12" ht="12.3">
      <c r="A324" s="259">
        <v>42722</v>
      </c>
      <c r="B324" s="197" t="s">
        <v>1547</v>
      </c>
      <c r="C324" s="197" t="s">
        <v>83</v>
      </c>
      <c r="D324" s="197">
        <v>4.3</v>
      </c>
      <c r="E324" s="197">
        <v>5</v>
      </c>
      <c r="F324" s="197"/>
      <c r="G324" s="184" t="s">
        <v>23</v>
      </c>
      <c r="H324" s="195" t="s">
        <v>23</v>
      </c>
      <c r="I324" s="219">
        <v>1</v>
      </c>
      <c r="J324" s="221"/>
      <c r="K324" s="221"/>
      <c r="L324" s="191" t="s">
        <v>23</v>
      </c>
    </row>
    <row r="325" spans="1:12" ht="12.3">
      <c r="A325" s="260">
        <v>42723</v>
      </c>
      <c r="B325" s="225" t="s">
        <v>1755</v>
      </c>
      <c r="C325" s="225" t="s">
        <v>29</v>
      </c>
      <c r="D325" s="225">
        <v>5.3</v>
      </c>
      <c r="E325" s="225"/>
      <c r="F325" s="225"/>
      <c r="G325" s="184">
        <v>3</v>
      </c>
      <c r="H325" s="237">
        <v>47</v>
      </c>
      <c r="I325" s="238">
        <v>4</v>
      </c>
      <c r="J325" s="227">
        <v>700</v>
      </c>
      <c r="K325" s="227">
        <v>145</v>
      </c>
      <c r="L325" s="228" t="s">
        <v>23</v>
      </c>
    </row>
    <row r="326" spans="1:12" ht="12.3">
      <c r="A326" s="259">
        <v>42724</v>
      </c>
      <c r="B326" s="197" t="s">
        <v>1481</v>
      </c>
      <c r="C326" s="197" t="s">
        <v>83</v>
      </c>
      <c r="D326" s="196">
        <v>5.8</v>
      </c>
      <c r="E326" s="197"/>
      <c r="F326" s="197"/>
      <c r="G326" s="184" t="s">
        <v>23</v>
      </c>
      <c r="H326" s="195" t="s">
        <v>23</v>
      </c>
      <c r="I326" s="219">
        <v>3</v>
      </c>
      <c r="J326" s="221">
        <v>816</v>
      </c>
      <c r="K326" s="221">
        <v>10</v>
      </c>
      <c r="L326" s="191" t="s">
        <v>23</v>
      </c>
    </row>
    <row r="327" spans="1:12" ht="12.3">
      <c r="A327" s="259">
        <v>42726</v>
      </c>
      <c r="B327" s="197" t="s">
        <v>1764</v>
      </c>
      <c r="C327" s="197" t="s">
        <v>726</v>
      </c>
      <c r="D327" s="197">
        <v>2.8</v>
      </c>
      <c r="E327" s="197"/>
      <c r="F327" s="197" t="s">
        <v>684</v>
      </c>
      <c r="G327" s="184" t="s">
        <v>23</v>
      </c>
      <c r="H327" s="195" t="s">
        <v>23</v>
      </c>
      <c r="I327" s="219">
        <v>1</v>
      </c>
      <c r="J327" s="221">
        <v>1</v>
      </c>
      <c r="K327" s="221">
        <v>0</v>
      </c>
      <c r="L327" s="191" t="s">
        <v>23</v>
      </c>
    </row>
    <row r="328" spans="1:12" ht="12.3">
      <c r="A328" s="259">
        <v>42727</v>
      </c>
      <c r="B328" s="197" t="s">
        <v>1765</v>
      </c>
      <c r="C328" s="197" t="s">
        <v>615</v>
      </c>
      <c r="D328" s="197" t="s">
        <v>1766</v>
      </c>
      <c r="E328" s="197">
        <v>3</v>
      </c>
      <c r="F328" s="197"/>
      <c r="G328" s="184" t="s">
        <v>23</v>
      </c>
      <c r="H328" s="195" t="s">
        <v>23</v>
      </c>
      <c r="I328" s="219">
        <v>1</v>
      </c>
      <c r="J328" s="221">
        <v>5</v>
      </c>
      <c r="K328" s="221">
        <v>0</v>
      </c>
      <c r="L328" s="191" t="s">
        <v>23</v>
      </c>
    </row>
    <row r="329" spans="1:12" ht="12.3">
      <c r="A329" s="259">
        <v>42729</v>
      </c>
      <c r="B329" s="196" t="s">
        <v>1767</v>
      </c>
      <c r="C329" s="196" t="s">
        <v>359</v>
      </c>
      <c r="D329" s="264">
        <v>42528</v>
      </c>
      <c r="E329" s="197">
        <v>30</v>
      </c>
      <c r="F329" s="197" t="s">
        <v>363</v>
      </c>
      <c r="G329" s="222" t="s">
        <v>23</v>
      </c>
      <c r="H329" s="223">
        <v>1</v>
      </c>
      <c r="I329" s="219">
        <v>3</v>
      </c>
      <c r="J329" s="221">
        <v>64</v>
      </c>
      <c r="K329" s="221">
        <v>36</v>
      </c>
      <c r="L329" s="191" t="s">
        <v>1739</v>
      </c>
    </row>
    <row r="330" spans="1:12" ht="12.3">
      <c r="A330" s="259">
        <v>42731</v>
      </c>
      <c r="B330" s="196" t="s">
        <v>1649</v>
      </c>
      <c r="C330" s="196" t="s">
        <v>83</v>
      </c>
      <c r="D330" s="197">
        <v>4.8</v>
      </c>
      <c r="E330" s="197">
        <v>10</v>
      </c>
      <c r="F330" s="197"/>
      <c r="G330" s="184" t="s">
        <v>23</v>
      </c>
      <c r="H330" s="195">
        <v>2</v>
      </c>
      <c r="I330" s="219">
        <v>3</v>
      </c>
      <c r="J330" s="221">
        <v>409</v>
      </c>
      <c r="K330" s="221">
        <v>12</v>
      </c>
      <c r="L330" s="191" t="s">
        <v>23</v>
      </c>
    </row>
    <row r="331" spans="1:12" ht="12.3">
      <c r="A331" s="259">
        <v>42731</v>
      </c>
      <c r="B331" s="197" t="s">
        <v>1708</v>
      </c>
      <c r="C331" s="197" t="s">
        <v>17</v>
      </c>
      <c r="D331" s="197">
        <v>4.7</v>
      </c>
      <c r="E331" s="197"/>
      <c r="F331" s="197"/>
      <c r="G331" s="184" t="s">
        <v>23</v>
      </c>
      <c r="H331" s="195" t="s">
        <v>23</v>
      </c>
      <c r="I331" s="219" t="s">
        <v>1478</v>
      </c>
      <c r="J331" s="221"/>
      <c r="K331" s="221"/>
      <c r="L331" s="191" t="s">
        <v>23</v>
      </c>
    </row>
    <row r="332" spans="1:12" ht="12.3">
      <c r="A332" s="259">
        <v>42731</v>
      </c>
      <c r="B332" s="196" t="s">
        <v>1768</v>
      </c>
      <c r="C332" s="196" t="s">
        <v>17</v>
      </c>
      <c r="D332" s="197">
        <v>4.9000000000000004</v>
      </c>
      <c r="E332" s="197">
        <v>12</v>
      </c>
      <c r="F332" s="197"/>
      <c r="G332" s="184" t="s">
        <v>23</v>
      </c>
      <c r="H332" s="195" t="s">
        <v>23</v>
      </c>
      <c r="I332" s="219">
        <v>3</v>
      </c>
      <c r="J332" s="221">
        <v>898</v>
      </c>
      <c r="K332" s="221">
        <v>3</v>
      </c>
      <c r="L332" s="191" t="s">
        <v>23</v>
      </c>
    </row>
    <row r="333" spans="1:12" ht="12.3">
      <c r="A333" s="259">
        <v>42731</v>
      </c>
      <c r="B333" s="197" t="s">
        <v>1700</v>
      </c>
      <c r="C333" s="197" t="s">
        <v>1278</v>
      </c>
      <c r="D333" s="197">
        <v>5.4</v>
      </c>
      <c r="E333" s="197">
        <v>98</v>
      </c>
      <c r="F333" s="197"/>
      <c r="G333" s="184" t="s">
        <v>23</v>
      </c>
      <c r="H333" s="195" t="s">
        <v>23</v>
      </c>
      <c r="I333" s="219">
        <v>1</v>
      </c>
      <c r="J333" s="221"/>
      <c r="K333" s="221"/>
      <c r="L333" s="191" t="s">
        <v>23</v>
      </c>
    </row>
    <row r="334" spans="1:12" ht="12.3">
      <c r="A334" s="259">
        <v>42732</v>
      </c>
      <c r="B334" s="196" t="s">
        <v>1589</v>
      </c>
      <c r="C334" s="196" t="s">
        <v>258</v>
      </c>
      <c r="D334" s="196">
        <v>6.3</v>
      </c>
      <c r="E334" s="197">
        <v>9</v>
      </c>
      <c r="F334" s="197" t="s">
        <v>454</v>
      </c>
      <c r="G334" s="184"/>
      <c r="H334" s="195">
        <v>2</v>
      </c>
      <c r="I334" s="219">
        <v>1</v>
      </c>
      <c r="J334" s="221">
        <v>5</v>
      </c>
      <c r="K334" s="221"/>
      <c r="L334" s="191" t="s">
        <v>23</v>
      </c>
    </row>
    <row r="335" spans="1:12" ht="12.3">
      <c r="A335" s="259">
        <v>42732</v>
      </c>
      <c r="B335" s="197" t="s">
        <v>1769</v>
      </c>
      <c r="C335" s="197" t="s">
        <v>39</v>
      </c>
      <c r="D335" s="196">
        <v>5.7</v>
      </c>
      <c r="E335" s="197">
        <v>12</v>
      </c>
      <c r="F335" s="197" t="s">
        <v>123</v>
      </c>
      <c r="G335" s="184" t="s">
        <v>23</v>
      </c>
      <c r="H335" s="195" t="s">
        <v>23</v>
      </c>
      <c r="I335" s="219">
        <v>1</v>
      </c>
      <c r="J335" s="221"/>
      <c r="K335" s="221"/>
      <c r="L335" s="191" t="s">
        <v>23</v>
      </c>
    </row>
    <row r="336" spans="1:12" ht="12.3">
      <c r="A336" s="260">
        <v>42733</v>
      </c>
      <c r="B336" s="225" t="s">
        <v>1611</v>
      </c>
      <c r="C336" s="225" t="s">
        <v>44</v>
      </c>
      <c r="D336" s="225">
        <v>6.6</v>
      </c>
      <c r="E336" s="225">
        <v>91</v>
      </c>
      <c r="F336" s="225" t="s">
        <v>35</v>
      </c>
      <c r="G336" s="184">
        <v>1</v>
      </c>
      <c r="H336" s="237" t="s">
        <v>23</v>
      </c>
      <c r="I336" s="238"/>
      <c r="J336" s="227"/>
      <c r="K336" s="227">
        <v>0</v>
      </c>
      <c r="L336" s="228" t="s">
        <v>23</v>
      </c>
    </row>
    <row r="337" spans="1:12" ht="12.3">
      <c r="A337" s="197"/>
      <c r="B337" s="197"/>
      <c r="C337" s="197"/>
      <c r="D337" s="197"/>
      <c r="E337" s="197"/>
      <c r="F337" s="197"/>
      <c r="G337" s="184"/>
      <c r="H337" s="195"/>
      <c r="I337" s="219"/>
      <c r="J337" s="221"/>
      <c r="K337" s="221"/>
      <c r="L337" s="191"/>
    </row>
    <row r="338" spans="1:12" ht="12.3"/>
  </sheetData>
  <mergeCells count="7">
    <mergeCell ref="J96:J98"/>
    <mergeCell ref="K96:K98"/>
    <mergeCell ref="G122:G123"/>
    <mergeCell ref="H122:H123"/>
    <mergeCell ref="K122:K123"/>
    <mergeCell ref="G96:G97"/>
    <mergeCell ref="H96:H97"/>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1575F-3913-4CDC-8161-C782260FC6E3}">
  <sheetPr>
    <outlinePr summaryBelow="0" summaryRight="0"/>
  </sheetPr>
  <dimension ref="A1:M284"/>
  <sheetViews>
    <sheetView topLeftCell="F1" workbookViewId="0">
      <pane ySplit="1" topLeftCell="A2" activePane="bottomLeft" state="frozen"/>
      <selection pane="bottomLeft" activeCell="B3" sqref="B3"/>
    </sheetView>
    <sheetView topLeftCell="I1" workbookViewId="1">
      <selection activeCell="N273" sqref="N273"/>
    </sheetView>
  </sheetViews>
  <sheetFormatPr defaultColWidth="13.68359375" defaultRowHeight="15.75" customHeight="1"/>
  <cols>
    <col min="1" max="1" width="9.89453125" style="8" customWidth="1"/>
    <col min="2" max="2" width="16.89453125" style="8" customWidth="1"/>
    <col min="3" max="3" width="23.41796875" style="8" customWidth="1"/>
    <col min="4" max="4" width="9.734375" style="8" customWidth="1"/>
    <col min="5" max="5" width="5.9453125" style="8" customWidth="1"/>
    <col min="6" max="6" width="8.7890625" style="8" customWidth="1"/>
    <col min="7" max="7" width="8.62890625" style="8" customWidth="1"/>
    <col min="8" max="8" width="7.3125" style="8" customWidth="1"/>
    <col min="9" max="9" width="9.20703125" style="8" customWidth="1"/>
    <col min="10" max="10" width="9.89453125" style="8" customWidth="1"/>
    <col min="11" max="11" width="9.47265625" style="8" customWidth="1"/>
    <col min="12" max="12" width="10" style="8" customWidth="1"/>
    <col min="13" max="13" width="8.5234375" style="8" customWidth="1"/>
    <col min="14" max="16384" width="13.68359375" style="8"/>
  </cols>
  <sheetData>
    <row r="1" spans="1:13" ht="30" customHeight="1">
      <c r="A1" s="213" t="s">
        <v>0</v>
      </c>
      <c r="B1" s="212" t="s">
        <v>1466</v>
      </c>
      <c r="C1" s="212" t="s">
        <v>1465</v>
      </c>
      <c r="D1" s="212" t="s">
        <v>1078</v>
      </c>
      <c r="E1" s="211" t="s">
        <v>5</v>
      </c>
      <c r="F1" s="211" t="s">
        <v>1464</v>
      </c>
      <c r="G1" s="210" t="s">
        <v>9</v>
      </c>
      <c r="H1" s="209" t="s">
        <v>10</v>
      </c>
      <c r="I1" s="208" t="s">
        <v>11</v>
      </c>
      <c r="J1" s="207" t="s">
        <v>1463</v>
      </c>
      <c r="K1" s="206" t="s">
        <v>13</v>
      </c>
      <c r="L1" s="206" t="s">
        <v>14</v>
      </c>
      <c r="M1" s="205" t="s">
        <v>15</v>
      </c>
    </row>
    <row r="2" spans="1:13" ht="15.75" customHeight="1">
      <c r="A2" s="172">
        <v>42737</v>
      </c>
      <c r="B2" s="170" t="s">
        <v>199</v>
      </c>
      <c r="C2" s="171" t="s">
        <v>1462</v>
      </c>
      <c r="D2" s="171">
        <v>4.0999999999999996</v>
      </c>
      <c r="E2" s="171">
        <v>8</v>
      </c>
      <c r="F2" s="170" t="s">
        <v>134</v>
      </c>
      <c r="G2" s="136">
        <v>0</v>
      </c>
      <c r="H2" s="135">
        <v>0</v>
      </c>
      <c r="I2" s="134">
        <v>30</v>
      </c>
      <c r="J2" s="157">
        <f>LOG(G2+([4]Values!$D$8*H2)+([4]Values!$D$9*I2)+(K2*[4]Values!$D$10)+(L2*[4]Values!$D$11)+1)</f>
        <v>0.19440094513921408</v>
      </c>
      <c r="K2" s="169"/>
      <c r="L2" s="168">
        <v>0</v>
      </c>
      <c r="M2" s="167" t="s">
        <v>23</v>
      </c>
    </row>
    <row r="3" spans="1:13" ht="15.75" customHeight="1">
      <c r="A3" s="155">
        <v>42738</v>
      </c>
      <c r="B3" s="145" t="s">
        <v>24</v>
      </c>
      <c r="C3" s="145" t="s">
        <v>1461</v>
      </c>
      <c r="D3" s="145">
        <v>5.5</v>
      </c>
      <c r="E3" s="145">
        <v>35</v>
      </c>
      <c r="F3" s="145"/>
      <c r="G3" s="136">
        <v>3</v>
      </c>
      <c r="H3" s="135">
        <v>49</v>
      </c>
      <c r="I3" s="144">
        <v>600</v>
      </c>
      <c r="J3" s="157">
        <f>LOG(G3+([4]Values!$D$8*H3)+([4]Values!$D$9*I3)+(K3*[4]Values!$D$10)+(L3*[4]Values!$D$11)+1)</f>
        <v>1.6687738229685225</v>
      </c>
      <c r="K3" s="142">
        <v>1456</v>
      </c>
      <c r="L3" s="142">
        <v>166</v>
      </c>
      <c r="M3" s="141" t="s">
        <v>23</v>
      </c>
    </row>
    <row r="4" spans="1:13" ht="15.75" customHeight="1">
      <c r="A4" s="172">
        <v>42738</v>
      </c>
      <c r="B4" s="170" t="s">
        <v>317</v>
      </c>
      <c r="C4" s="171" t="s">
        <v>813</v>
      </c>
      <c r="D4" s="171">
        <v>4.5999999999999996</v>
      </c>
      <c r="E4" s="171"/>
      <c r="F4" s="170"/>
      <c r="G4" s="136">
        <v>0</v>
      </c>
      <c r="H4" s="135">
        <v>0</v>
      </c>
      <c r="I4" s="134">
        <v>0</v>
      </c>
      <c r="J4" s="157">
        <f>LOG(G4+([4]Values!$D$8*H4)+([4]Values!$D$9*I4)+(K4*[4]Values!$D$10)+(L4*[4]Values!$D$11)+1)</f>
        <v>0.75296737254591817</v>
      </c>
      <c r="K4" s="169">
        <v>500</v>
      </c>
      <c r="L4" s="168">
        <v>0</v>
      </c>
      <c r="M4" s="167" t="s">
        <v>23</v>
      </c>
    </row>
    <row r="5" spans="1:13" ht="15.75" customHeight="1">
      <c r="A5" s="172">
        <v>42738</v>
      </c>
      <c r="B5" s="170" t="s">
        <v>910</v>
      </c>
      <c r="C5" s="171" t="s">
        <v>1460</v>
      </c>
      <c r="D5" s="170">
        <v>7.2</v>
      </c>
      <c r="E5" s="171">
        <v>16</v>
      </c>
      <c r="F5" s="170" t="s">
        <v>684</v>
      </c>
      <c r="G5" s="136">
        <v>0</v>
      </c>
      <c r="H5" s="135">
        <v>0</v>
      </c>
      <c r="I5" s="134">
        <v>0</v>
      </c>
      <c r="J5" s="157">
        <f>LOG(G5+([4]Values!$D$8*H5)+([4]Values!$D$9*I5)+(K5*[4]Values!$D$10)+(L5*[4]Values!$D$11)+1)</f>
        <v>0</v>
      </c>
      <c r="K5" s="169">
        <v>0</v>
      </c>
      <c r="L5" s="168">
        <v>0</v>
      </c>
      <c r="M5" s="167" t="s">
        <v>1459</v>
      </c>
    </row>
    <row r="6" spans="1:13" ht="15.75" customHeight="1">
      <c r="A6" s="155">
        <v>42741</v>
      </c>
      <c r="B6" s="145" t="s">
        <v>17</v>
      </c>
      <c r="C6" s="145" t="s">
        <v>129</v>
      </c>
      <c r="D6" s="145">
        <v>5.0999999999999996</v>
      </c>
      <c r="E6" s="145">
        <v>4</v>
      </c>
      <c r="F6" s="145"/>
      <c r="G6" s="136">
        <v>4</v>
      </c>
      <c r="H6" s="135">
        <v>4</v>
      </c>
      <c r="I6" s="144">
        <v>905</v>
      </c>
      <c r="J6" s="157">
        <f>LOG(G6+([4]Values!$D$8*H6)+([4]Values!$D$9*I6)+(K6*[4]Values!$D$10)+(L6*[4]Values!$D$11)+1)</f>
        <v>1.4478516416482621</v>
      </c>
      <c r="K6" s="142">
        <v>400</v>
      </c>
      <c r="L6" s="142">
        <v>40</v>
      </c>
      <c r="M6" s="141" t="s">
        <v>23</v>
      </c>
    </row>
    <row r="7" spans="1:13" ht="15.75" customHeight="1">
      <c r="A7" s="172">
        <v>42743</v>
      </c>
      <c r="B7" s="170" t="s">
        <v>235</v>
      </c>
      <c r="C7" s="171" t="s">
        <v>1458</v>
      </c>
      <c r="D7" s="170">
        <v>5.8</v>
      </c>
      <c r="E7" s="171">
        <v>17</v>
      </c>
      <c r="F7" s="170" t="s">
        <v>1364</v>
      </c>
      <c r="G7" s="136">
        <v>0</v>
      </c>
      <c r="H7" s="135">
        <v>0</v>
      </c>
      <c r="I7" s="134">
        <v>0</v>
      </c>
      <c r="J7" s="157">
        <f>LOG(G7+([4]Values!$D$8*H7)+([4]Values!$D$9*I7)+(K7*[4]Values!$D$10)+(L7*[4]Values!$D$11)+1)</f>
        <v>1.9788894635760546E-2</v>
      </c>
      <c r="K7" s="169">
        <v>5</v>
      </c>
      <c r="L7" s="168">
        <v>0</v>
      </c>
      <c r="M7" s="167" t="s">
        <v>23</v>
      </c>
    </row>
    <row r="8" spans="1:13" ht="15.75" customHeight="1">
      <c r="A8" s="172">
        <v>42743</v>
      </c>
      <c r="B8" s="170" t="s">
        <v>24</v>
      </c>
      <c r="C8" s="171" t="s">
        <v>397</v>
      </c>
      <c r="D8" s="171">
        <v>2.8</v>
      </c>
      <c r="E8" s="171"/>
      <c r="F8" s="170"/>
      <c r="G8" s="136">
        <v>0</v>
      </c>
      <c r="H8" s="135">
        <v>0</v>
      </c>
      <c r="I8" s="134">
        <v>0</v>
      </c>
      <c r="J8" s="157">
        <f>LOG(G8+([4]Values!$D$8*H8)+([4]Values!$D$9*I8)+(K8*[4]Values!$D$10)+(L8*[4]Values!$D$11)+1)</f>
        <v>3.8715255314556482E-2</v>
      </c>
      <c r="K8" s="169">
        <v>10</v>
      </c>
      <c r="L8" s="168">
        <v>0</v>
      </c>
      <c r="M8" s="167" t="s">
        <v>23</v>
      </c>
    </row>
    <row r="9" spans="1:13" ht="15.75" customHeight="1">
      <c r="A9" s="172">
        <v>42744</v>
      </c>
      <c r="B9" s="170" t="s">
        <v>156</v>
      </c>
      <c r="C9" s="171" t="s">
        <v>1457</v>
      </c>
      <c r="D9" s="171">
        <v>4.5999999999999996</v>
      </c>
      <c r="E9" s="171">
        <v>4</v>
      </c>
      <c r="F9" s="170" t="s">
        <v>35</v>
      </c>
      <c r="G9" s="136">
        <v>0</v>
      </c>
      <c r="H9" s="135">
        <v>0</v>
      </c>
      <c r="I9" s="134">
        <v>0</v>
      </c>
      <c r="J9" s="157">
        <f>LOG(G9+([4]Values!$D$8*H9)+([4]Values!$D$9*I9)+(K9*[4]Values!$D$10)+(L9*[4]Values!$D$11)+1)</f>
        <v>8.0240814190273343E-3</v>
      </c>
      <c r="K9" s="169">
        <v>2</v>
      </c>
      <c r="L9" s="168">
        <v>0</v>
      </c>
      <c r="M9" s="167" t="s">
        <v>23</v>
      </c>
    </row>
    <row r="10" spans="1:13" ht="15.75" customHeight="1">
      <c r="A10" s="172">
        <v>42745</v>
      </c>
      <c r="B10" s="170" t="s">
        <v>62</v>
      </c>
      <c r="C10" s="171" t="s">
        <v>1456</v>
      </c>
      <c r="D10" s="170">
        <v>7.3</v>
      </c>
      <c r="E10" s="171">
        <v>627</v>
      </c>
      <c r="F10" s="170" t="s">
        <v>684</v>
      </c>
      <c r="G10" s="136">
        <v>0</v>
      </c>
      <c r="H10" s="135">
        <v>0</v>
      </c>
      <c r="I10" s="134">
        <v>0</v>
      </c>
      <c r="J10" s="157">
        <f>LOG(G10+([4]Values!$D$8*H10)+([4]Values!$D$9*I10)+(K10*[4]Values!$D$10)+(L10*[4]Values!$D$11)+1)</f>
        <v>4.030572192620571E-3</v>
      </c>
      <c r="K10" s="169">
        <v>1</v>
      </c>
      <c r="L10" s="168">
        <v>0</v>
      </c>
      <c r="M10" s="167" t="s">
        <v>23</v>
      </c>
    </row>
    <row r="11" spans="1:13" ht="15.75" customHeight="1">
      <c r="A11" s="155">
        <v>42746</v>
      </c>
      <c r="B11" s="145" t="s">
        <v>1455</v>
      </c>
      <c r="C11" s="145" t="s">
        <v>1454</v>
      </c>
      <c r="D11" s="145">
        <v>5.5</v>
      </c>
      <c r="E11" s="145">
        <v>8</v>
      </c>
      <c r="F11" s="145" t="s">
        <v>35</v>
      </c>
      <c r="G11" s="136">
        <v>2</v>
      </c>
      <c r="H11" s="135">
        <v>5</v>
      </c>
      <c r="I11" s="144">
        <v>50</v>
      </c>
      <c r="J11" s="157">
        <f>LOG(G11+([4]Values!$D$8*H11)+([4]Values!$D$9*I11)+(K11*[4]Values!$D$10)+(L11*[4]Values!$D$11)+1)</f>
        <v>0.92895067311910451</v>
      </c>
      <c r="K11" s="142">
        <v>300</v>
      </c>
      <c r="L11" s="142">
        <v>15</v>
      </c>
      <c r="M11" s="141" t="s">
        <v>23</v>
      </c>
    </row>
    <row r="12" spans="1:13" ht="15.75" customHeight="1">
      <c r="A12" s="153">
        <v>42750</v>
      </c>
      <c r="B12" s="150" t="s">
        <v>83</v>
      </c>
      <c r="C12" s="137" t="s">
        <v>150</v>
      </c>
      <c r="D12" s="137">
        <v>4.2</v>
      </c>
      <c r="E12" s="137">
        <v>14</v>
      </c>
      <c r="F12" s="150"/>
      <c r="G12" s="136">
        <v>0</v>
      </c>
      <c r="H12" s="135">
        <v>0</v>
      </c>
      <c r="I12" s="134">
        <v>0</v>
      </c>
      <c r="J12" s="157">
        <f>LOG(G12+([4]Values!$D$8*H12)+([4]Values!$D$9*I12)+(K12*[4]Values!$D$10)+(L12*[4]Values!$D$11)+1)</f>
        <v>5.6851142226527845E-2</v>
      </c>
      <c r="K12" s="133">
        <v>15</v>
      </c>
      <c r="L12" s="160">
        <v>0</v>
      </c>
      <c r="M12" s="141" t="s">
        <v>23</v>
      </c>
    </row>
    <row r="13" spans="1:13" ht="15.75" customHeight="1">
      <c r="A13" s="172">
        <v>42751</v>
      </c>
      <c r="B13" s="170" t="s">
        <v>44</v>
      </c>
      <c r="C13" s="171" t="s">
        <v>343</v>
      </c>
      <c r="D13" s="170">
        <v>5.6</v>
      </c>
      <c r="E13" s="171"/>
      <c r="F13" s="170"/>
      <c r="G13" s="136">
        <v>0</v>
      </c>
      <c r="H13" s="135">
        <v>7</v>
      </c>
      <c r="I13" s="134">
        <v>50</v>
      </c>
      <c r="J13" s="157">
        <f>LOG(G13+([4]Values!$D$8*H13)+([4]Values!$D$9*I13)+(K13*[4]Values!$D$10)+(L13*[4]Values!$D$11)+1)</f>
        <v>0.78771762775415566</v>
      </c>
      <c r="K13" s="169">
        <v>200</v>
      </c>
      <c r="L13" s="168">
        <v>17</v>
      </c>
      <c r="M13" s="167" t="s">
        <v>23</v>
      </c>
    </row>
    <row r="14" spans="1:13" ht="15.75" customHeight="1">
      <c r="A14" s="198">
        <v>42752</v>
      </c>
      <c r="B14" s="196" t="s">
        <v>142</v>
      </c>
      <c r="C14" s="197" t="s">
        <v>1453</v>
      </c>
      <c r="D14" s="197">
        <v>5.4</v>
      </c>
      <c r="E14" s="197">
        <v>11</v>
      </c>
      <c r="F14" s="196" t="s">
        <v>35</v>
      </c>
      <c r="G14" s="184">
        <v>0</v>
      </c>
      <c r="H14" s="195">
        <v>0</v>
      </c>
      <c r="I14" s="194">
        <v>25</v>
      </c>
      <c r="J14" s="157">
        <f>LOG(G14+([4]Values!$D$8*H14)+([4]Values!$D$9*I14)+(K14*[4]Values!$D$10)+(L14*[4]Values!$D$11)+1)</f>
        <v>0.28048003436206237</v>
      </c>
      <c r="K14" s="193">
        <v>30</v>
      </c>
      <c r="L14" s="192">
        <v>5</v>
      </c>
      <c r="M14" s="191" t="s">
        <v>23</v>
      </c>
    </row>
    <row r="15" spans="1:13" ht="15.75" customHeight="1">
      <c r="A15" s="172">
        <v>42752</v>
      </c>
      <c r="B15" s="170" t="s">
        <v>216</v>
      </c>
      <c r="C15" s="171" t="s">
        <v>1451</v>
      </c>
      <c r="D15" s="171">
        <v>3.6</v>
      </c>
      <c r="E15" s="171">
        <v>12</v>
      </c>
      <c r="F15" s="170"/>
      <c r="G15" s="136">
        <v>0</v>
      </c>
      <c r="H15" s="135">
        <v>0</v>
      </c>
      <c r="I15" s="134">
        <v>0</v>
      </c>
      <c r="J15" s="157">
        <f>LOG(G15+([4]Values!$D$8*H15)+([4]Values!$D$9*I15)+(K15*[4]Values!$D$10)+(L15*[4]Values!$D$11)+1)</f>
        <v>7.4259946119613868E-2</v>
      </c>
      <c r="K15" s="169">
        <v>20</v>
      </c>
      <c r="L15" s="168">
        <v>0</v>
      </c>
      <c r="M15" s="167" t="s">
        <v>23</v>
      </c>
    </row>
    <row r="16" spans="1:13" ht="15.75" customHeight="1">
      <c r="A16" s="172">
        <v>42752</v>
      </c>
      <c r="B16" s="170" t="s">
        <v>1450</v>
      </c>
      <c r="C16" s="171" t="s">
        <v>1221</v>
      </c>
      <c r="D16" s="174">
        <v>4</v>
      </c>
      <c r="E16" s="171"/>
      <c r="F16" s="170"/>
      <c r="G16" s="136">
        <v>0</v>
      </c>
      <c r="H16" s="135">
        <v>0</v>
      </c>
      <c r="I16" s="134">
        <v>0</v>
      </c>
      <c r="J16" s="157">
        <f>LOG(G16+([4]Values!$D$8*H16)+([4]Values!$D$9*I16)+(K16*[4]Values!$D$10)+(L16*[4]Values!$D$11)+1)</f>
        <v>9.0997725520269523E-2</v>
      </c>
      <c r="K16" s="169">
        <v>25</v>
      </c>
      <c r="L16" s="168">
        <v>0</v>
      </c>
      <c r="M16" s="167" t="s">
        <v>23</v>
      </c>
    </row>
    <row r="17" spans="1:13" ht="15.75" customHeight="1">
      <c r="A17" s="172">
        <v>42752</v>
      </c>
      <c r="B17" s="170" t="s">
        <v>17</v>
      </c>
      <c r="C17" s="171" t="s">
        <v>129</v>
      </c>
      <c r="D17" s="171">
        <v>4.8</v>
      </c>
      <c r="E17" s="171">
        <v>10</v>
      </c>
      <c r="F17" s="170"/>
      <c r="G17" s="136">
        <v>0</v>
      </c>
      <c r="H17" s="135">
        <v>3</v>
      </c>
      <c r="I17" s="134">
        <v>0</v>
      </c>
      <c r="J17" s="157">
        <f>LOG(G17+([4]Values!$D$8*H17)+([4]Values!$D$9*I17)+(K17*[4]Values!$D$10)+(L17*[4]Values!$D$11)+1)</f>
        <v>0.4314852114775039</v>
      </c>
      <c r="K17" s="169">
        <v>100</v>
      </c>
      <c r="L17" s="168">
        <v>0</v>
      </c>
      <c r="M17" s="167" t="s">
        <v>23</v>
      </c>
    </row>
    <row r="18" spans="1:13" ht="15.75" customHeight="1">
      <c r="A18" s="155">
        <v>42753</v>
      </c>
      <c r="B18" s="145" t="s">
        <v>199</v>
      </c>
      <c r="C18" s="145" t="s">
        <v>277</v>
      </c>
      <c r="D18" s="145">
        <v>5.5</v>
      </c>
      <c r="E18" s="145">
        <v>9</v>
      </c>
      <c r="F18" s="145"/>
      <c r="G18" s="136">
        <v>2</v>
      </c>
      <c r="H18" s="135">
        <v>10</v>
      </c>
      <c r="I18" s="144">
        <v>500</v>
      </c>
      <c r="J18" s="157">
        <f>LOG(G18+([4]Values!$D$8*H18)+([4]Values!$D$9*I18)+(K18*[4]Values!$D$10)+(L18*[4]Values!$D$11)+1)</f>
        <v>1.546450165813043</v>
      </c>
      <c r="K18" s="142">
        <v>2000</v>
      </c>
      <c r="L18" s="142">
        <v>50</v>
      </c>
      <c r="M18" s="141" t="s">
        <v>23</v>
      </c>
    </row>
    <row r="19" spans="1:13" ht="15.75" customHeight="1">
      <c r="A19" s="172">
        <v>42753</v>
      </c>
      <c r="B19" s="170" t="s">
        <v>83</v>
      </c>
      <c r="C19" s="171" t="s">
        <v>150</v>
      </c>
      <c r="D19" s="171">
        <v>4.3</v>
      </c>
      <c r="E19" s="171">
        <v>5</v>
      </c>
      <c r="F19" s="170"/>
      <c r="G19" s="136">
        <v>0</v>
      </c>
      <c r="H19" s="135">
        <v>0</v>
      </c>
      <c r="I19" s="134">
        <v>0</v>
      </c>
      <c r="J19" s="157">
        <f>LOG(G19+([4]Values!$D$8*H19)+([4]Values!$D$9*I19)+(K19*[4]Values!$D$10)+(L19*[4]Values!$D$11)+1)</f>
        <v>1.1490436460730076</v>
      </c>
      <c r="K19" s="169">
        <v>1401</v>
      </c>
      <c r="L19" s="168">
        <v>1</v>
      </c>
      <c r="M19" s="167" t="s">
        <v>23</v>
      </c>
    </row>
    <row r="20" spans="1:13" ht="15.75" customHeight="1">
      <c r="A20" s="172">
        <v>42754</v>
      </c>
      <c r="B20" s="170" t="s">
        <v>378</v>
      </c>
      <c r="C20" s="171" t="s">
        <v>850</v>
      </c>
      <c r="D20" s="171">
        <v>4.7</v>
      </c>
      <c r="E20" s="171">
        <v>20</v>
      </c>
      <c r="F20" s="170"/>
      <c r="G20" s="136">
        <v>0</v>
      </c>
      <c r="H20" s="135">
        <v>0</v>
      </c>
      <c r="I20" s="134">
        <v>0</v>
      </c>
      <c r="J20" s="157">
        <f>LOG(G20+([4]Values!$D$8*H20)+([4]Values!$D$9*I20)+(K20*[4]Values!$D$10)+(L20*[4]Values!$D$11)+1)</f>
        <v>4.030572192620571E-3</v>
      </c>
      <c r="K20" s="169">
        <v>1</v>
      </c>
      <c r="L20" s="168">
        <v>0</v>
      </c>
      <c r="M20" s="167" t="s">
        <v>23</v>
      </c>
    </row>
    <row r="21" spans="1:13" ht="15.75" customHeight="1">
      <c r="A21" s="172">
        <v>42754</v>
      </c>
      <c r="B21" s="170" t="s">
        <v>1280</v>
      </c>
      <c r="C21" s="171" t="s">
        <v>1449</v>
      </c>
      <c r="D21" s="171">
        <v>4.3</v>
      </c>
      <c r="E21" s="171"/>
      <c r="F21" s="170"/>
      <c r="G21" s="136">
        <v>0</v>
      </c>
      <c r="H21" s="135">
        <v>0</v>
      </c>
      <c r="I21" s="134">
        <v>0</v>
      </c>
      <c r="J21" s="157">
        <f>LOG(G21+([4]Values!$D$8*H21)+([4]Values!$D$9*I21)+(K21*[4]Values!$D$10)+(L21*[4]Values!$D$11)+1)</f>
        <v>3.8715255314556482E-2</v>
      </c>
      <c r="K21" s="169">
        <v>10</v>
      </c>
      <c r="L21" s="168">
        <v>0</v>
      </c>
      <c r="M21" s="167" t="s">
        <v>23</v>
      </c>
    </row>
    <row r="22" spans="1:13" ht="15.75" customHeight="1">
      <c r="A22" s="172">
        <v>42755</v>
      </c>
      <c r="B22" s="170" t="s">
        <v>17</v>
      </c>
      <c r="C22" s="171" t="s">
        <v>129</v>
      </c>
      <c r="D22" s="171">
        <v>4.3</v>
      </c>
      <c r="E22" s="171">
        <v>12</v>
      </c>
      <c r="F22" s="170"/>
      <c r="G22" s="136">
        <v>0</v>
      </c>
      <c r="H22" s="135">
        <v>10</v>
      </c>
      <c r="I22" s="134">
        <v>0</v>
      </c>
      <c r="J22" s="157">
        <f>LOG(G22+([4]Values!$D$8*H22)+([4]Values!$D$9*I22)+(K22*[4]Values!$D$10)+(L22*[4]Values!$D$11)+1)</f>
        <v>0.60502500485396216</v>
      </c>
      <c r="K22" s="169">
        <v>50</v>
      </c>
      <c r="L22" s="168">
        <v>0</v>
      </c>
      <c r="M22" s="167" t="s">
        <v>23</v>
      </c>
    </row>
    <row r="23" spans="1:13" ht="15.75" customHeight="1">
      <c r="A23" s="172">
        <v>42756</v>
      </c>
      <c r="B23" s="170" t="s">
        <v>172</v>
      </c>
      <c r="C23" s="171" t="s">
        <v>1362</v>
      </c>
      <c r="D23" s="171">
        <v>3.3</v>
      </c>
      <c r="E23" s="171"/>
      <c r="F23" s="170"/>
      <c r="G23" s="136">
        <v>0</v>
      </c>
      <c r="H23" s="135">
        <v>0</v>
      </c>
      <c r="I23" s="134">
        <v>0</v>
      </c>
      <c r="J23" s="157">
        <f>LOG(G23+([4]Values!$D$8*H23)+([4]Values!$D$9*I23)+(K23*[4]Values!$D$10)+(L23*[4]Values!$D$11)+1)</f>
        <v>8.0240814190273343E-3</v>
      </c>
      <c r="K23" s="169">
        <v>2</v>
      </c>
      <c r="L23" s="168">
        <v>0</v>
      </c>
      <c r="M23" s="167" t="s">
        <v>23</v>
      </c>
    </row>
    <row r="24" spans="1:13" ht="15.75" customHeight="1">
      <c r="A24" s="172">
        <v>42756</v>
      </c>
      <c r="B24" s="170" t="s">
        <v>76</v>
      </c>
      <c r="C24" s="171" t="s">
        <v>77</v>
      </c>
      <c r="D24" s="171">
        <v>4.5999999999999996</v>
      </c>
      <c r="E24" s="171">
        <v>22</v>
      </c>
      <c r="F24" s="170"/>
      <c r="G24" s="136">
        <v>0</v>
      </c>
      <c r="H24" s="135">
        <v>0</v>
      </c>
      <c r="I24" s="134">
        <v>0</v>
      </c>
      <c r="J24" s="157">
        <f>LOG(G24+([4]Values!$D$8*H24)+([4]Values!$D$9*I24)+(K24*[4]Values!$D$10)+(L24*[4]Values!$D$11)+1)</f>
        <v>3.8715255314556482E-2</v>
      </c>
      <c r="K24" s="169">
        <v>10</v>
      </c>
      <c r="L24" s="168">
        <v>0</v>
      </c>
      <c r="M24" s="167" t="s">
        <v>23</v>
      </c>
    </row>
    <row r="25" spans="1:13" ht="15.75" customHeight="1">
      <c r="A25" s="155">
        <v>42757</v>
      </c>
      <c r="B25" s="145" t="s">
        <v>583</v>
      </c>
      <c r="C25" s="145" t="s">
        <v>1447</v>
      </c>
      <c r="D25" s="145">
        <v>7.9</v>
      </c>
      <c r="E25" s="145">
        <v>136</v>
      </c>
      <c r="F25" s="145" t="s">
        <v>363</v>
      </c>
      <c r="G25" s="136">
        <v>3</v>
      </c>
      <c r="H25" s="135">
        <v>15</v>
      </c>
      <c r="I25" s="144">
        <v>200</v>
      </c>
      <c r="J25" s="157">
        <f>LOG(G25+([4]Values!$D$8*H25)+([4]Values!$D$9*I25)+(K25*[4]Values!$D$10)+(L25*[4]Values!$D$11)+1)</f>
        <v>1.2881342854096836</v>
      </c>
      <c r="K25" s="142">
        <v>500</v>
      </c>
      <c r="L25" s="142">
        <v>100</v>
      </c>
      <c r="M25" s="141" t="s">
        <v>1096</v>
      </c>
    </row>
    <row r="26" spans="1:13" ht="15.75" customHeight="1">
      <c r="A26" s="172">
        <v>42757</v>
      </c>
      <c r="B26" s="170" t="s">
        <v>17</v>
      </c>
      <c r="C26" s="171" t="s">
        <v>1293</v>
      </c>
      <c r="D26" s="171">
        <v>4.5</v>
      </c>
      <c r="E26" s="171"/>
      <c r="F26" s="170"/>
      <c r="G26" s="136">
        <v>0</v>
      </c>
      <c r="H26" s="135">
        <v>0</v>
      </c>
      <c r="I26" s="134">
        <v>5</v>
      </c>
      <c r="J26" s="157">
        <f>LOG(G26+([4]Values!$D$8*H26)+([4]Values!$D$9*I26)+(K26*[4]Values!$D$10)+(L26*[4]Values!$D$11)+1)</f>
        <v>0.13792876628270642</v>
      </c>
      <c r="K26" s="169">
        <v>30</v>
      </c>
      <c r="L26" s="168">
        <v>0</v>
      </c>
      <c r="M26" s="167" t="s">
        <v>23</v>
      </c>
    </row>
    <row r="27" spans="1:13" ht="15.75" customHeight="1">
      <c r="A27" s="172">
        <v>42761</v>
      </c>
      <c r="B27" s="170" t="s">
        <v>726</v>
      </c>
      <c r="C27" s="171" t="s">
        <v>1445</v>
      </c>
      <c r="D27" s="171">
        <v>1.9</v>
      </c>
      <c r="E27" s="171">
        <v>1</v>
      </c>
      <c r="F27" s="170" t="s">
        <v>684</v>
      </c>
      <c r="G27" s="184">
        <v>0</v>
      </c>
      <c r="H27" s="135">
        <v>0</v>
      </c>
      <c r="I27" s="134">
        <v>0</v>
      </c>
      <c r="J27" s="157">
        <f>LOG(G27+([4]Values!$D$8*H27)+([4]Values!$D$9*I27)+(K27*[4]Values!$D$10)+(L27*[4]Values!$D$11)+1)</f>
        <v>4.030572192620571E-3</v>
      </c>
      <c r="K27" s="169">
        <v>1</v>
      </c>
      <c r="L27" s="168">
        <v>0</v>
      </c>
      <c r="M27" s="167" t="s">
        <v>23</v>
      </c>
    </row>
    <row r="28" spans="1:13" ht="12.3">
      <c r="A28" s="172">
        <v>42762</v>
      </c>
      <c r="B28" s="170" t="s">
        <v>1444</v>
      </c>
      <c r="C28" s="171" t="s">
        <v>1443</v>
      </c>
      <c r="D28" s="171">
        <v>5.2</v>
      </c>
      <c r="E28" s="171"/>
      <c r="F28" s="170"/>
      <c r="G28" s="184"/>
      <c r="H28" s="135"/>
      <c r="I28" s="134"/>
      <c r="J28" s="157">
        <f>LOG(G28+([4]Values!$D$8*H28)+([4]Values!$D$9*I28)+(K28*[4]Values!$D$10)+(L28*[4]Values!$D$11)+1)</f>
        <v>0</v>
      </c>
      <c r="K28" s="169"/>
      <c r="L28" s="168"/>
      <c r="M28" s="167" t="s">
        <v>23</v>
      </c>
    </row>
    <row r="29" spans="1:13" ht="12.3">
      <c r="A29" s="172">
        <v>42762</v>
      </c>
      <c r="B29" s="170" t="s">
        <v>292</v>
      </c>
      <c r="C29" s="171" t="s">
        <v>1442</v>
      </c>
      <c r="D29" s="171">
        <v>4.8</v>
      </c>
      <c r="E29" s="171">
        <v>3</v>
      </c>
      <c r="F29" s="170"/>
      <c r="G29" s="136">
        <v>0</v>
      </c>
      <c r="H29" s="135">
        <v>0</v>
      </c>
      <c r="I29" s="134">
        <v>0</v>
      </c>
      <c r="J29" s="157">
        <f>LOG(G29+([4]Values!$D$8*H29)+([4]Values!$D$9*I29)+(K29*[4]Values!$D$10)+(L29*[4]Values!$D$11)+1)</f>
        <v>8.4379819887540994E-2</v>
      </c>
      <c r="K29" s="169">
        <v>23</v>
      </c>
      <c r="L29" s="168">
        <v>0</v>
      </c>
      <c r="M29" s="167" t="s">
        <v>23</v>
      </c>
    </row>
    <row r="30" spans="1:13" ht="12.3">
      <c r="A30" s="178">
        <v>42762</v>
      </c>
      <c r="B30" s="170" t="s">
        <v>83</v>
      </c>
      <c r="C30" s="170" t="s">
        <v>150</v>
      </c>
      <c r="D30" s="170">
        <v>4.9000000000000004</v>
      </c>
      <c r="E30" s="170">
        <v>11</v>
      </c>
      <c r="F30" s="170" t="s">
        <v>35</v>
      </c>
      <c r="G30" s="136">
        <v>0</v>
      </c>
      <c r="H30" s="135">
        <v>5</v>
      </c>
      <c r="I30" s="163">
        <v>4000</v>
      </c>
      <c r="J30" s="157">
        <f>LOG(G30+([4]Values!$D$8*H30)+([4]Values!$D$9*I30)+(K30*[4]Values!$D$10)+(L30*[4]Values!$D$11)+1)</f>
        <v>2.3542328154972978</v>
      </c>
      <c r="K30" s="168">
        <v>14000</v>
      </c>
      <c r="L30" s="168">
        <v>571</v>
      </c>
      <c r="M30" s="177" t="s">
        <v>23</v>
      </c>
    </row>
    <row r="31" spans="1:13" ht="12.3">
      <c r="A31" s="172">
        <v>42764</v>
      </c>
      <c r="B31" s="170" t="s">
        <v>199</v>
      </c>
      <c r="C31" s="171" t="s">
        <v>656</v>
      </c>
      <c r="D31" s="171">
        <v>3.8</v>
      </c>
      <c r="E31" s="171"/>
      <c r="F31" s="170"/>
      <c r="G31" s="136">
        <v>0</v>
      </c>
      <c r="H31" s="135">
        <v>0</v>
      </c>
      <c r="I31" s="134">
        <v>0</v>
      </c>
      <c r="J31" s="157">
        <f>LOG(G31+([4]Values!$D$8*H31)+([4]Values!$D$9*I31)+(K31*[4]Values!$D$10)+(L31*[4]Values!$D$11)+1)</f>
        <v>1.3457201014902387E-2</v>
      </c>
      <c r="K31" s="169">
        <v>0</v>
      </c>
      <c r="L31" s="168">
        <v>1</v>
      </c>
      <c r="M31" s="167" t="s">
        <v>23</v>
      </c>
    </row>
    <row r="32" spans="1:13" ht="12.3">
      <c r="A32" s="172">
        <v>42766</v>
      </c>
      <c r="B32" s="170" t="s">
        <v>29</v>
      </c>
      <c r="C32" s="171" t="s">
        <v>1441</v>
      </c>
      <c r="D32" s="171">
        <v>5.5</v>
      </c>
      <c r="E32" s="171">
        <v>10</v>
      </c>
      <c r="F32" s="170" t="s">
        <v>35</v>
      </c>
      <c r="G32" s="136">
        <v>0</v>
      </c>
      <c r="H32" s="135">
        <v>0</v>
      </c>
      <c r="I32" s="134">
        <v>0</v>
      </c>
      <c r="J32" s="157">
        <f>LOG(G32+([4]Values!$D$8*H32)+([4]Values!$D$9*I32)+(K32*[4]Values!$D$10)+(L32*[4]Values!$D$11)+1)</f>
        <v>1.5902594341210354E-2</v>
      </c>
      <c r="K32" s="169">
        <v>4</v>
      </c>
      <c r="L32" s="168">
        <v>0</v>
      </c>
      <c r="M32" s="167" t="s">
        <v>23</v>
      </c>
    </row>
    <row r="33" spans="1:13" ht="12.3">
      <c r="A33" s="172">
        <v>42766</v>
      </c>
      <c r="B33" s="170" t="s">
        <v>83</v>
      </c>
      <c r="C33" s="171" t="s">
        <v>251</v>
      </c>
      <c r="D33" s="171">
        <v>4.5</v>
      </c>
      <c r="E33" s="171">
        <v>5</v>
      </c>
      <c r="F33" s="170"/>
      <c r="G33" s="136">
        <v>0</v>
      </c>
      <c r="H33" s="135">
        <v>0</v>
      </c>
      <c r="I33" s="134">
        <v>500</v>
      </c>
      <c r="J33" s="157">
        <f>LOG(G33+([4]Values!$D$8*H33)+([4]Values!$D$9*I33)+(K33*[4]Values!$D$10)+(L33*[4]Values!$D$11)+1)</f>
        <v>1.3703903163113171</v>
      </c>
      <c r="K33" s="169">
        <v>1400</v>
      </c>
      <c r="L33" s="168"/>
      <c r="M33" s="167" t="s">
        <v>23</v>
      </c>
    </row>
    <row r="34" spans="1:13" ht="12.3">
      <c r="A34" s="172">
        <v>42767</v>
      </c>
      <c r="B34" s="170" t="s">
        <v>661</v>
      </c>
      <c r="C34" s="171" t="s">
        <v>1440</v>
      </c>
      <c r="D34" s="171">
        <v>3.7</v>
      </c>
      <c r="E34" s="171">
        <v>8</v>
      </c>
      <c r="F34" s="170"/>
      <c r="G34" s="136">
        <v>0</v>
      </c>
      <c r="H34" s="135">
        <v>0</v>
      </c>
      <c r="I34" s="134">
        <v>0</v>
      </c>
      <c r="J34" s="157">
        <f>LOG(G34+([4]Values!$D$8*H34)+([4]Values!$D$9*I34)+(K34*[4]Values!$D$10)+(L34*[4]Values!$D$11)+1)</f>
        <v>8.0240814190273343E-3</v>
      </c>
      <c r="K34" s="169">
        <v>2</v>
      </c>
      <c r="L34" s="168">
        <v>0</v>
      </c>
      <c r="M34" s="167" t="s">
        <v>23</v>
      </c>
    </row>
    <row r="35" spans="1:13" ht="12.3">
      <c r="A35" s="172">
        <v>42769</v>
      </c>
      <c r="B35" s="170" t="s">
        <v>760</v>
      </c>
      <c r="C35" s="171" t="s">
        <v>1439</v>
      </c>
      <c r="D35" s="174">
        <v>5</v>
      </c>
      <c r="E35" s="171"/>
      <c r="F35" s="170"/>
      <c r="G35" s="136">
        <v>0</v>
      </c>
      <c r="H35" s="135">
        <v>0</v>
      </c>
      <c r="I35" s="134">
        <v>0</v>
      </c>
      <c r="J35" s="157">
        <f>LOG(G35+([4]Values!$D$8*H35)+([4]Values!$D$9*I35)+(K35*[4]Values!$D$10)+(L35*[4]Values!$D$11)+1)</f>
        <v>1.9788894635760546E-2</v>
      </c>
      <c r="K35" s="169">
        <v>5</v>
      </c>
      <c r="L35" s="168">
        <v>0</v>
      </c>
      <c r="M35" s="167" t="s">
        <v>23</v>
      </c>
    </row>
    <row r="36" spans="1:13" ht="12.3">
      <c r="A36" s="172">
        <v>42769</v>
      </c>
      <c r="B36" s="170" t="s">
        <v>512</v>
      </c>
      <c r="C36" s="171" t="s">
        <v>1438</v>
      </c>
      <c r="D36" s="171">
        <v>5.8</v>
      </c>
      <c r="E36" s="171"/>
      <c r="F36" s="170" t="s">
        <v>123</v>
      </c>
      <c r="G36" s="136">
        <v>0</v>
      </c>
      <c r="H36" s="135">
        <v>3</v>
      </c>
      <c r="I36" s="134">
        <v>0</v>
      </c>
      <c r="J36" s="157">
        <f>LOG(G36+([4]Values!$D$8*H36)+([4]Values!$D$9*I36)+(K36*[4]Values!$D$10)+(L36*[4]Values!$D$11)+1)</f>
        <v>0.26988660128333702</v>
      </c>
      <c r="K36" s="169">
        <v>10</v>
      </c>
      <c r="L36" s="168">
        <v>0</v>
      </c>
      <c r="M36" s="167" t="s">
        <v>23</v>
      </c>
    </row>
    <row r="37" spans="1:13" ht="12.3">
      <c r="A37" s="172">
        <v>42772</v>
      </c>
      <c r="B37" s="170" t="s">
        <v>105</v>
      </c>
      <c r="C37" s="171" t="s">
        <v>1437</v>
      </c>
      <c r="D37" s="171">
        <v>5.4</v>
      </c>
      <c r="E37" s="171">
        <v>8</v>
      </c>
      <c r="F37" s="170"/>
      <c r="G37" s="136">
        <v>0</v>
      </c>
      <c r="H37" s="135">
        <v>8</v>
      </c>
      <c r="I37" s="134">
        <v>2500</v>
      </c>
      <c r="J37" s="157">
        <f>LOG(G37+([4]Values!$D$8*H37)+([4]Values!$D$9*I37)+(K37*[4]Values!$D$10)+(L37*[4]Values!$D$11)+1)</f>
        <v>1.8491681684420815</v>
      </c>
      <c r="K37" s="169">
        <v>504</v>
      </c>
      <c r="L37" s="168">
        <v>504</v>
      </c>
      <c r="M37" s="167" t="s">
        <v>23</v>
      </c>
    </row>
    <row r="38" spans="1:13" ht="12.3">
      <c r="A38" s="172">
        <v>42772</v>
      </c>
      <c r="B38" s="170" t="s">
        <v>378</v>
      </c>
      <c r="C38" s="171" t="s">
        <v>1221</v>
      </c>
      <c r="D38" s="171">
        <v>5.6</v>
      </c>
      <c r="E38" s="171">
        <v>37</v>
      </c>
      <c r="F38" s="170"/>
      <c r="G38" s="136">
        <v>0</v>
      </c>
      <c r="H38" s="135">
        <v>1</v>
      </c>
      <c r="I38" s="134">
        <v>500</v>
      </c>
      <c r="J38" s="157">
        <f>LOG(G38+([4]Values!$D$8*H38)+([4]Values!$D$9*I38)+(K38*[4]Values!$D$10)+(L38*[4]Values!$D$11)+1)</f>
        <v>1.2609614900465487</v>
      </c>
      <c r="K38" s="169">
        <v>461</v>
      </c>
      <c r="L38" s="168">
        <v>104</v>
      </c>
      <c r="M38" s="167" t="s">
        <v>23</v>
      </c>
    </row>
    <row r="39" spans="1:13" ht="12.3">
      <c r="A39" s="172">
        <v>42772</v>
      </c>
      <c r="B39" s="170" t="s">
        <v>24</v>
      </c>
      <c r="C39" s="171" t="s">
        <v>160</v>
      </c>
      <c r="D39" s="171">
        <v>5.6</v>
      </c>
      <c r="E39" s="171">
        <v>14</v>
      </c>
      <c r="F39" s="170"/>
      <c r="G39" s="136">
        <v>0</v>
      </c>
      <c r="H39" s="135">
        <v>2</v>
      </c>
      <c r="I39" s="134"/>
      <c r="J39" s="157">
        <f>LOG(G39+([4]Values!$D$8*H39)+([4]Values!$D$9*I39)+(K39*[4]Values!$D$10)+(L39*[4]Values!$D$11)+1)</f>
        <v>0.4408066081225242</v>
      </c>
      <c r="K39" s="169">
        <v>100</v>
      </c>
      <c r="L39" s="168">
        <v>10</v>
      </c>
      <c r="M39" s="167" t="s">
        <v>23</v>
      </c>
    </row>
    <row r="40" spans="1:13" ht="12.3">
      <c r="A40" s="172">
        <v>42773</v>
      </c>
      <c r="B40" s="170" t="s">
        <v>105</v>
      </c>
      <c r="C40" s="171" t="s">
        <v>1437</v>
      </c>
      <c r="D40" s="171">
        <v>5.2</v>
      </c>
      <c r="E40" s="171">
        <v>8</v>
      </c>
      <c r="F40" s="170"/>
      <c r="G40" s="136">
        <v>0</v>
      </c>
      <c r="H40" s="135">
        <v>0</v>
      </c>
      <c r="I40" s="134">
        <v>0</v>
      </c>
      <c r="J40" s="157">
        <f>LOG(G40+([4]Values!$D$8*H40)+([4]Values!$D$9*I40)+(K40*[4]Values!$D$10)+(L40*[4]Values!$D$11)+1)</f>
        <v>0.30001611445091003</v>
      </c>
      <c r="K40" s="169">
        <v>100</v>
      </c>
      <c r="L40" s="168">
        <v>2</v>
      </c>
      <c r="M40" s="167" t="s">
        <v>23</v>
      </c>
    </row>
    <row r="41" spans="1:13" ht="12.3">
      <c r="A41" s="172">
        <v>42773</v>
      </c>
      <c r="B41" s="170" t="s">
        <v>216</v>
      </c>
      <c r="C41" s="171" t="s">
        <v>356</v>
      </c>
      <c r="D41" s="170">
        <v>6.3</v>
      </c>
      <c r="E41" s="171"/>
      <c r="F41" s="170"/>
      <c r="G41" s="136">
        <v>0</v>
      </c>
      <c r="H41" s="135">
        <v>1</v>
      </c>
      <c r="I41" s="134">
        <v>300</v>
      </c>
      <c r="J41" s="157">
        <f>LOG(G41+([4]Values!$D$8*H41)+([4]Values!$D$9*I41)+(K41*[4]Values!$D$10)+(L41*[4]Values!$D$11)+1)</f>
        <v>0.94400469797147157</v>
      </c>
      <c r="K41" s="169"/>
      <c r="L41" s="168">
        <v>60</v>
      </c>
      <c r="M41" s="167" t="s">
        <v>23</v>
      </c>
    </row>
    <row r="42" spans="1:13" ht="12.3">
      <c r="A42" s="172">
        <v>42774</v>
      </c>
      <c r="B42" s="170" t="s">
        <v>83</v>
      </c>
      <c r="C42" s="171" t="s">
        <v>323</v>
      </c>
      <c r="D42" s="171">
        <v>4.9000000000000004</v>
      </c>
      <c r="E42" s="171">
        <v>10</v>
      </c>
      <c r="F42" s="170"/>
      <c r="G42" s="136">
        <v>0</v>
      </c>
      <c r="H42" s="135">
        <v>5</v>
      </c>
      <c r="I42" s="134"/>
      <c r="J42" s="157">
        <f>LOG(G42+([4]Values!$D$8*H42)+([4]Values!$D$9*I42)+(K42*[4]Values!$D$10)+(L42*[4]Values!$D$11)+1)</f>
        <v>0.39545383214886926</v>
      </c>
      <c r="K42" s="169">
        <v>22</v>
      </c>
      <c r="L42" s="168"/>
      <c r="M42" s="167" t="s">
        <v>23</v>
      </c>
    </row>
    <row r="43" spans="1:13" ht="12.3">
      <c r="A43" s="172">
        <v>42775</v>
      </c>
      <c r="B43" s="170" t="s">
        <v>378</v>
      </c>
      <c r="C43" s="171" t="s">
        <v>1221</v>
      </c>
      <c r="D43" s="174">
        <v>4</v>
      </c>
      <c r="E43" s="171"/>
      <c r="F43" s="170"/>
      <c r="G43" s="136">
        <v>0</v>
      </c>
      <c r="H43" s="135">
        <v>0</v>
      </c>
      <c r="I43" s="134">
        <v>15</v>
      </c>
      <c r="J43" s="157">
        <f>LOG(G43+([4]Values!$D$8*H43)+([4]Values!$D$9*I43)+(K43*[4]Values!$D$10)+(L43*[4]Values!$D$11)+1)</f>
        <v>0.12463951524460611</v>
      </c>
      <c r="K43" s="169">
        <v>2</v>
      </c>
      <c r="L43" s="168">
        <v>1</v>
      </c>
      <c r="M43" s="167" t="s">
        <v>23</v>
      </c>
    </row>
    <row r="44" spans="1:13" ht="12.3">
      <c r="A44" s="172">
        <v>42776</v>
      </c>
      <c r="B44" s="170" t="s">
        <v>105</v>
      </c>
      <c r="C44" s="171" t="s">
        <v>1437</v>
      </c>
      <c r="D44" s="171">
        <v>4.7</v>
      </c>
      <c r="E44" s="171"/>
      <c r="F44" s="170"/>
      <c r="G44" s="136">
        <v>0</v>
      </c>
      <c r="H44" s="135">
        <v>0</v>
      </c>
      <c r="I44" s="134">
        <v>0</v>
      </c>
      <c r="J44" s="157">
        <f>LOG(G44+([4]Values!$D$8*H44)+([4]Values!$D$9*I44)+(K44*[4]Values!$D$10)+(L44*[4]Values!$D$11)+1)</f>
        <v>7.4259946119613868E-2</v>
      </c>
      <c r="K44" s="169">
        <v>20</v>
      </c>
      <c r="L44" s="168">
        <v>0</v>
      </c>
      <c r="M44" s="167" t="s">
        <v>23</v>
      </c>
    </row>
    <row r="45" spans="1:13" ht="12.3">
      <c r="A45" s="172">
        <v>42776</v>
      </c>
      <c r="B45" s="170" t="s">
        <v>105</v>
      </c>
      <c r="C45" s="171" t="s">
        <v>1179</v>
      </c>
      <c r="D45" s="171">
        <v>4.5</v>
      </c>
      <c r="E45" s="171"/>
      <c r="F45" s="170"/>
      <c r="G45" s="136">
        <v>0</v>
      </c>
      <c r="H45" s="135">
        <v>0</v>
      </c>
      <c r="I45" s="134">
        <v>15</v>
      </c>
      <c r="J45" s="157">
        <f>LOG(G45+([4]Values!$D$8*H45)+([4]Values!$D$9*I45)+(K45*[4]Values!$D$10)+(L45*[4]Values!$D$11)+1)</f>
        <v>0.2188644130340848</v>
      </c>
      <c r="K45" s="169">
        <v>40</v>
      </c>
      <c r="L45" s="168">
        <v>0</v>
      </c>
      <c r="M45" s="167" t="s">
        <v>23</v>
      </c>
    </row>
    <row r="46" spans="1:13" ht="12.3">
      <c r="A46" s="155">
        <v>42776</v>
      </c>
      <c r="B46" s="145" t="s">
        <v>62</v>
      </c>
      <c r="C46" s="145" t="s">
        <v>1427</v>
      </c>
      <c r="D46" s="145">
        <v>6.6</v>
      </c>
      <c r="E46" s="145">
        <v>7</v>
      </c>
      <c r="F46" s="145" t="s">
        <v>363</v>
      </c>
      <c r="G46" s="136">
        <v>8</v>
      </c>
      <c r="H46" s="135">
        <v>249</v>
      </c>
      <c r="I46" s="144">
        <v>54735</v>
      </c>
      <c r="J46" s="157">
        <f>LOG(G46+([4]Values!$D$8*H46)+([4]Values!$D$9*I46)+(K46*[4]Values!$D$10)+(L46*[4]Values!$D$11)+1)</f>
        <v>3.0850226487798165</v>
      </c>
      <c r="K46" s="142">
        <v>10398</v>
      </c>
      <c r="L46" s="142">
        <v>522</v>
      </c>
      <c r="M46" s="141" t="s">
        <v>23</v>
      </c>
    </row>
    <row r="47" spans="1:13" ht="12.3">
      <c r="A47" s="172">
        <v>42776</v>
      </c>
      <c r="B47" s="170" t="s">
        <v>570</v>
      </c>
      <c r="C47" s="171" t="s">
        <v>1217</v>
      </c>
      <c r="D47" s="170">
        <v>5.6</v>
      </c>
      <c r="E47" s="171">
        <v>18</v>
      </c>
      <c r="F47" s="170" t="s">
        <v>123</v>
      </c>
      <c r="G47" s="136">
        <v>0</v>
      </c>
      <c r="H47" s="135">
        <v>4</v>
      </c>
      <c r="I47" s="134">
        <v>0</v>
      </c>
      <c r="J47" s="157">
        <f>LOG(G47+([4]Values!$D$8*H47)+([4]Values!$D$9*I47)+(K47*[4]Values!$D$10)+(L47*[4]Values!$D$11)+1)</f>
        <v>0.31620145908248504</v>
      </c>
      <c r="K47" s="169">
        <v>5</v>
      </c>
      <c r="L47" s="168">
        <v>0</v>
      </c>
      <c r="M47" s="167" t="s">
        <v>23</v>
      </c>
    </row>
    <row r="48" spans="1:13" ht="12.3">
      <c r="A48" s="172">
        <v>42778</v>
      </c>
      <c r="B48" s="170" t="s">
        <v>105</v>
      </c>
      <c r="C48" s="171" t="s">
        <v>1437</v>
      </c>
      <c r="D48" s="171">
        <v>5.2</v>
      </c>
      <c r="E48" s="171">
        <v>8</v>
      </c>
      <c r="F48" s="170"/>
      <c r="G48" s="136">
        <v>0</v>
      </c>
      <c r="H48" s="135">
        <v>0</v>
      </c>
      <c r="I48" s="134"/>
      <c r="J48" s="157">
        <f>LOG(G48+([4]Values!$D$8*H48)+([4]Values!$D$9*I48)+(K48*[4]Values!$D$10)+(L48*[4]Values!$D$11)+1)</f>
        <v>0.32131362131839741</v>
      </c>
      <c r="K48" s="169">
        <v>50</v>
      </c>
      <c r="L48" s="168">
        <v>20</v>
      </c>
      <c r="M48" s="167" t="s">
        <v>23</v>
      </c>
    </row>
    <row r="49" spans="1:13" ht="12.3">
      <c r="A49" s="172">
        <v>42778</v>
      </c>
      <c r="B49" s="170" t="s">
        <v>83</v>
      </c>
      <c r="C49" s="171" t="s">
        <v>1411</v>
      </c>
      <c r="D49" s="171">
        <v>3.5</v>
      </c>
      <c r="E49" s="171">
        <v>6</v>
      </c>
      <c r="F49" s="170"/>
      <c r="G49" s="136">
        <v>0</v>
      </c>
      <c r="H49" s="135">
        <v>0</v>
      </c>
      <c r="I49" s="134">
        <v>0</v>
      </c>
      <c r="J49" s="157">
        <f>LOG(G49+([4]Values!$D$8*H49)+([4]Values!$D$9*I49)+(K49*[4]Values!$D$10)+(L49*[4]Values!$D$11)+1)</f>
        <v>3.8715255314556482E-2</v>
      </c>
      <c r="K49" s="169">
        <v>10</v>
      </c>
      <c r="L49" s="168"/>
      <c r="M49" s="167" t="s">
        <v>23</v>
      </c>
    </row>
    <row r="50" spans="1:13" ht="12.3">
      <c r="A50" s="172">
        <v>42779</v>
      </c>
      <c r="B50" s="170" t="s">
        <v>33</v>
      </c>
      <c r="C50" s="171" t="s">
        <v>1436</v>
      </c>
      <c r="D50" s="171">
        <v>4.4000000000000004</v>
      </c>
      <c r="E50" s="171">
        <v>10</v>
      </c>
      <c r="F50" s="170"/>
      <c r="G50" s="136">
        <v>0</v>
      </c>
      <c r="H50" s="135">
        <v>0</v>
      </c>
      <c r="I50" s="134"/>
      <c r="J50" s="157">
        <f>LOG(G50+([4]Values!$D$8*H50)+([4]Values!$D$9*I50)+(K50*[4]Values!$D$10)+(L50*[4]Values!$D$11)+1)</f>
        <v>7.7659506147102139E-2</v>
      </c>
      <c r="K50" s="169">
        <v>21</v>
      </c>
      <c r="L50" s="168">
        <v>0</v>
      </c>
      <c r="M50" s="167" t="s">
        <v>23</v>
      </c>
    </row>
    <row r="51" spans="1:13" ht="12.3">
      <c r="A51" s="172">
        <v>42779</v>
      </c>
      <c r="B51" s="170" t="s">
        <v>44</v>
      </c>
      <c r="C51" s="171" t="s">
        <v>343</v>
      </c>
      <c r="D51" s="171">
        <v>5.2</v>
      </c>
      <c r="E51" s="171"/>
      <c r="F51" s="170"/>
      <c r="G51" s="136">
        <v>0</v>
      </c>
      <c r="H51" s="135">
        <v>0</v>
      </c>
      <c r="I51" s="134"/>
      <c r="J51" s="157">
        <f>LOG(G51+([4]Values!$D$8*H51)+([4]Values!$D$9*I51)+(K51*[4]Values!$D$10)+(L51*[4]Values!$D$11)+1)</f>
        <v>0</v>
      </c>
      <c r="K51" s="169"/>
      <c r="L51" s="168"/>
      <c r="M51" s="167" t="s">
        <v>23</v>
      </c>
    </row>
    <row r="52" spans="1:13" ht="12.3">
      <c r="A52" s="172">
        <v>42781</v>
      </c>
      <c r="B52" s="170" t="s">
        <v>44</v>
      </c>
      <c r="C52" s="171" t="s">
        <v>1435</v>
      </c>
      <c r="D52" s="171">
        <v>5.0999999999999996</v>
      </c>
      <c r="E52" s="171"/>
      <c r="F52" s="170"/>
      <c r="G52" s="136">
        <v>0</v>
      </c>
      <c r="H52" s="135">
        <v>0</v>
      </c>
      <c r="I52" s="134">
        <v>50</v>
      </c>
      <c r="J52" s="157">
        <f>LOG(G52+([4]Values!$D$8*H52)+([4]Values!$D$9*I52)+(K52*[4]Values!$D$10)+(L52*[4]Values!$D$11)+1)</f>
        <v>0.37043711453803124</v>
      </c>
      <c r="K52" s="169">
        <v>30</v>
      </c>
      <c r="L52" s="168">
        <v>4</v>
      </c>
      <c r="M52" s="167" t="s">
        <v>23</v>
      </c>
    </row>
    <row r="53" spans="1:13" ht="12.3">
      <c r="A53" s="172">
        <v>42782</v>
      </c>
      <c r="B53" s="170" t="s">
        <v>44</v>
      </c>
      <c r="C53" s="171" t="s">
        <v>1119</v>
      </c>
      <c r="D53" s="171">
        <v>5.6</v>
      </c>
      <c r="E53" s="171"/>
      <c r="F53" s="170"/>
      <c r="G53" s="136">
        <v>0</v>
      </c>
      <c r="H53" s="135">
        <v>15</v>
      </c>
      <c r="I53" s="134"/>
      <c r="J53" s="157">
        <f>LOG(G53+([4]Values!$D$8*H53)+([4]Values!$D$9*I53)+(K53*[4]Values!$D$10)+(L53*[4]Values!$D$11)+1)</f>
        <v>0.69061696881595269</v>
      </c>
      <c r="K53" s="169"/>
      <c r="L53" s="168">
        <v>2</v>
      </c>
      <c r="M53" s="167" t="s">
        <v>23</v>
      </c>
    </row>
    <row r="54" spans="1:13" ht="12.3">
      <c r="A54" s="172">
        <v>42783</v>
      </c>
      <c r="B54" s="170" t="s">
        <v>39</v>
      </c>
      <c r="C54" s="171" t="s">
        <v>1434</v>
      </c>
      <c r="D54" s="171">
        <v>2.6</v>
      </c>
      <c r="E54" s="171">
        <v>2</v>
      </c>
      <c r="F54" s="170"/>
      <c r="G54" s="136">
        <v>0</v>
      </c>
      <c r="H54" s="135">
        <v>0</v>
      </c>
      <c r="I54" s="134">
        <v>0</v>
      </c>
      <c r="J54" s="157">
        <f>LOG(G54+([4]Values!$D$8*H54)+([4]Values!$D$9*I54)+(K54*[4]Values!$D$10)+(L54*[4]Values!$D$11)+1)</f>
        <v>4.030572192620571E-3</v>
      </c>
      <c r="K54" s="169">
        <v>1</v>
      </c>
      <c r="L54" s="168">
        <v>0</v>
      </c>
      <c r="M54" s="167" t="s">
        <v>23</v>
      </c>
    </row>
    <row r="55" spans="1:13" ht="12.3">
      <c r="A55" s="172">
        <v>42786</v>
      </c>
      <c r="B55" s="170" t="s">
        <v>512</v>
      </c>
      <c r="C55" s="171" t="s">
        <v>1433</v>
      </c>
      <c r="D55" s="171">
        <v>3.8</v>
      </c>
      <c r="E55" s="171"/>
      <c r="F55" s="170"/>
      <c r="G55" s="136">
        <v>0</v>
      </c>
      <c r="H55" s="135">
        <v>0</v>
      </c>
      <c r="I55" s="134">
        <v>0</v>
      </c>
      <c r="J55" s="157">
        <f>LOG(G55+([4]Values!$D$8*H55)+([4]Values!$D$9*I55)+(K55*[4]Values!$D$10)+(L55*[4]Values!$D$11)+1)</f>
        <v>4.030572192620571E-3</v>
      </c>
      <c r="K55" s="169">
        <v>1</v>
      </c>
      <c r="L55" s="168">
        <v>0</v>
      </c>
      <c r="M55" s="167" t="s">
        <v>23</v>
      </c>
    </row>
    <row r="56" spans="1:13" ht="12.3">
      <c r="A56" s="172">
        <v>42788</v>
      </c>
      <c r="B56" s="170" t="s">
        <v>83</v>
      </c>
      <c r="C56" s="171" t="s">
        <v>1069</v>
      </c>
      <c r="D56" s="171">
        <v>3.8</v>
      </c>
      <c r="E56" s="171">
        <v>7</v>
      </c>
      <c r="F56" s="170"/>
      <c r="G56" s="136">
        <v>0</v>
      </c>
      <c r="H56" s="135">
        <v>0</v>
      </c>
      <c r="I56" s="134">
        <v>0</v>
      </c>
      <c r="J56" s="157">
        <f>LOG(G56+([4]Values!$D$8*H56)+([4]Values!$D$9*I56)+(K56*[4]Values!$D$10)+(L56*[4]Values!$D$11)+1)</f>
        <v>0.21325938269580999</v>
      </c>
      <c r="K56" s="169">
        <v>68</v>
      </c>
      <c r="L56" s="168">
        <v>0</v>
      </c>
      <c r="M56" s="167" t="s">
        <v>23</v>
      </c>
    </row>
    <row r="57" spans="1:13" ht="12.3">
      <c r="A57" s="172">
        <v>42789</v>
      </c>
      <c r="B57" s="170" t="s">
        <v>62</v>
      </c>
      <c r="C57" s="171" t="s">
        <v>1051</v>
      </c>
      <c r="D57" s="171">
        <v>4.5999999999999996</v>
      </c>
      <c r="E57" s="171"/>
      <c r="F57" s="170"/>
      <c r="G57" s="136">
        <v>0</v>
      </c>
      <c r="H57" s="135">
        <v>2</v>
      </c>
      <c r="I57" s="134">
        <v>0</v>
      </c>
      <c r="J57" s="157">
        <f>LOG(G57+([4]Values!$D$8*H57)+([4]Values!$D$9*I57)+(K57*[4]Values!$D$10)+(L57*[4]Values!$D$11)+1)</f>
        <v>0.18229051790097614</v>
      </c>
      <c r="K57" s="169">
        <v>1</v>
      </c>
      <c r="L57" s="168">
        <v>0</v>
      </c>
      <c r="M57" s="167" t="s">
        <v>23</v>
      </c>
    </row>
    <row r="58" spans="1:13" ht="12.3">
      <c r="A58" s="172">
        <v>42790</v>
      </c>
      <c r="B58" s="170" t="s">
        <v>1432</v>
      </c>
      <c r="C58" s="171" t="s">
        <v>1431</v>
      </c>
      <c r="D58" s="171">
        <v>5.9</v>
      </c>
      <c r="E58" s="171"/>
      <c r="F58" s="170"/>
      <c r="G58" s="136">
        <v>0</v>
      </c>
      <c r="H58" s="135">
        <v>8</v>
      </c>
      <c r="I58" s="134">
        <v>50</v>
      </c>
      <c r="J58" s="157">
        <f>LOG(G58+([4]Values!$D$8*H58)+([4]Values!$D$9*I58)+(K58*[4]Values!$D$10)+(L58*[4]Values!$D$11)+1)</f>
        <v>0.63710287005709032</v>
      </c>
      <c r="K58" s="169"/>
      <c r="L58" s="168">
        <v>11</v>
      </c>
      <c r="M58" s="167" t="s">
        <v>23</v>
      </c>
    </row>
    <row r="59" spans="1:13" ht="12.3">
      <c r="A59" s="172">
        <v>42791</v>
      </c>
      <c r="B59" s="170" t="s">
        <v>83</v>
      </c>
      <c r="C59" s="171" t="s">
        <v>1430</v>
      </c>
      <c r="D59" s="174">
        <v>4</v>
      </c>
      <c r="E59" s="171">
        <v>12</v>
      </c>
      <c r="F59" s="170"/>
      <c r="G59" s="136">
        <v>0</v>
      </c>
      <c r="H59" s="135">
        <v>0</v>
      </c>
      <c r="I59" s="134"/>
      <c r="J59" s="157">
        <f>LOG(G59+([4]Values!$D$8*H59)+([4]Values!$D$9*I59)+(K59*[4]Values!$D$10)+(L59*[4]Values!$D$11)+1)</f>
        <v>3.8715255314556482E-2</v>
      </c>
      <c r="K59" s="169">
        <v>10</v>
      </c>
      <c r="L59" s="168">
        <v>0</v>
      </c>
      <c r="M59" s="167" t="s">
        <v>23</v>
      </c>
    </row>
    <row r="60" spans="1:13" ht="12.3">
      <c r="A60" s="172">
        <v>42793</v>
      </c>
      <c r="B60" s="170" t="s">
        <v>1001</v>
      </c>
      <c r="C60" s="171" t="s">
        <v>1429</v>
      </c>
      <c r="D60" s="171">
        <v>4.7</v>
      </c>
      <c r="E60" s="171"/>
      <c r="F60" s="170"/>
      <c r="G60" s="136">
        <v>0</v>
      </c>
      <c r="H60" s="135">
        <v>0</v>
      </c>
      <c r="I60" s="134">
        <v>0</v>
      </c>
      <c r="J60" s="157">
        <f>LOG(G60+([4]Values!$D$8*H60)+([4]Values!$D$9*I60)+(K60*[4]Values!$D$10)+(L60*[4]Values!$D$11)+1)</f>
        <v>5.6851142226527845E-2</v>
      </c>
      <c r="K60" s="169">
        <v>15</v>
      </c>
      <c r="L60" s="168">
        <v>0</v>
      </c>
      <c r="M60" s="167" t="s">
        <v>23</v>
      </c>
    </row>
    <row r="61" spans="1:13" ht="12.3">
      <c r="A61" s="172">
        <v>42796</v>
      </c>
      <c r="B61" s="170" t="s">
        <v>105</v>
      </c>
      <c r="C61" s="171" t="s">
        <v>1168</v>
      </c>
      <c r="D61" s="171">
        <v>5.5</v>
      </c>
      <c r="E61" s="171"/>
      <c r="F61" s="170"/>
      <c r="G61" s="136">
        <v>0</v>
      </c>
      <c r="H61" s="135">
        <v>31</v>
      </c>
      <c r="I61" s="134">
        <v>3000</v>
      </c>
      <c r="J61" s="157">
        <f>LOG(G61+([4]Values!$D$8*H61)+([4]Values!$D$9*I61)+(K61*[4]Values!$D$10)+(L61*[4]Values!$D$11)+1)</f>
        <v>2.0514826132797723</v>
      </c>
      <c r="K61" s="169">
        <v>710</v>
      </c>
      <c r="L61" s="168">
        <v>1289</v>
      </c>
      <c r="M61" s="167" t="s">
        <v>23</v>
      </c>
    </row>
    <row r="62" spans="1:13" ht="12.3">
      <c r="A62" s="153">
        <v>42799</v>
      </c>
      <c r="B62" s="150" t="s">
        <v>118</v>
      </c>
      <c r="C62" s="137" t="s">
        <v>1428</v>
      </c>
      <c r="D62" s="137">
        <v>4.5999999999999996</v>
      </c>
      <c r="E62" s="137"/>
      <c r="F62" s="150"/>
      <c r="G62" s="136">
        <v>0</v>
      </c>
      <c r="H62" s="135">
        <v>0</v>
      </c>
      <c r="I62" s="134">
        <v>0</v>
      </c>
      <c r="J62" s="157">
        <f>LOG(G62+([4]Values!$D$8*H62)+([4]Values!$D$9*I62)+(K62*[4]Values!$D$10)+(L62*[4]Values!$D$11)+1)</f>
        <v>1.1981203095237175E-2</v>
      </c>
      <c r="K62" s="133">
        <v>3</v>
      </c>
      <c r="L62" s="160">
        <v>0</v>
      </c>
      <c r="M62" s="149" t="s">
        <v>23</v>
      </c>
    </row>
    <row r="63" spans="1:13" ht="12.3">
      <c r="A63" s="155">
        <v>42799</v>
      </c>
      <c r="B63" s="145" t="s">
        <v>62</v>
      </c>
      <c r="C63" s="145" t="s">
        <v>1427</v>
      </c>
      <c r="D63" s="145">
        <v>5.9</v>
      </c>
      <c r="E63" s="145">
        <v>13</v>
      </c>
      <c r="F63" s="145" t="s">
        <v>123</v>
      </c>
      <c r="G63" s="136">
        <v>1</v>
      </c>
      <c r="H63" s="135">
        <v>47</v>
      </c>
      <c r="I63" s="144">
        <f>54735-I46</f>
        <v>0</v>
      </c>
      <c r="J63" s="157">
        <f>LOG(G63+([4]Values!$D$8*H63)+([4]Values!$D$9*I63)+(K63*[4]Values!$D$10)+(L63*[4]Values!$D$11)+1)</f>
        <v>1.1782925443108465</v>
      </c>
      <c r="K63" s="142">
        <f>10398-K46</f>
        <v>0</v>
      </c>
      <c r="L63" s="142">
        <f>555-L46</f>
        <v>33</v>
      </c>
      <c r="M63" s="141" t="s">
        <v>23</v>
      </c>
    </row>
    <row r="64" spans="1:13" ht="12.3">
      <c r="A64" s="172">
        <v>42800</v>
      </c>
      <c r="B64" s="170" t="s">
        <v>1426</v>
      </c>
      <c r="C64" s="171" t="s">
        <v>1425</v>
      </c>
      <c r="D64" s="171">
        <v>4.5999999999999996</v>
      </c>
      <c r="E64" s="171">
        <v>5</v>
      </c>
      <c r="F64" s="170" t="s">
        <v>35</v>
      </c>
      <c r="G64" s="136">
        <v>0</v>
      </c>
      <c r="H64" s="135">
        <v>0</v>
      </c>
      <c r="I64" s="134">
        <v>0</v>
      </c>
      <c r="J64" s="157">
        <f>LOG(G64+([4]Values!$D$8*H64)+([4]Values!$D$9*I64)+(K64*[4]Values!$D$10)+(L64*[4]Values!$D$11)+1)</f>
        <v>0.12265412254593516</v>
      </c>
      <c r="K64" s="169">
        <v>35</v>
      </c>
      <c r="L64" s="168">
        <v>0</v>
      </c>
      <c r="M64" s="167" t="s">
        <v>23</v>
      </c>
    </row>
    <row r="65" spans="1:13" ht="12.3">
      <c r="A65" s="172">
        <v>42801</v>
      </c>
      <c r="B65" s="170" t="s">
        <v>72</v>
      </c>
      <c r="C65" s="171" t="s">
        <v>437</v>
      </c>
      <c r="D65" s="171">
        <v>4.3</v>
      </c>
      <c r="E65" s="171">
        <v>50</v>
      </c>
      <c r="F65" s="170"/>
      <c r="G65" s="136">
        <v>0</v>
      </c>
      <c r="H65" s="135">
        <v>0</v>
      </c>
      <c r="I65" s="134">
        <v>0</v>
      </c>
      <c r="J65" s="157">
        <f>LOG(G65+([4]Values!$D$8*H65)+([4]Values!$D$9*I65)+(K65*[4]Values!$D$10)+(L65*[4]Values!$D$11)+1)</f>
        <v>0.18078973056838005</v>
      </c>
      <c r="K65" s="169">
        <v>52</v>
      </c>
      <c r="L65" s="168">
        <v>1</v>
      </c>
      <c r="M65" s="167" t="s">
        <v>23</v>
      </c>
    </row>
    <row r="66" spans="1:13" ht="12.3">
      <c r="A66" s="172">
        <v>42801</v>
      </c>
      <c r="B66" s="170" t="s">
        <v>39</v>
      </c>
      <c r="C66" s="171" t="s">
        <v>1377</v>
      </c>
      <c r="D66" s="171">
        <v>3.4</v>
      </c>
      <c r="E66" s="171">
        <v>11</v>
      </c>
      <c r="F66" s="170"/>
      <c r="G66" s="136">
        <v>0</v>
      </c>
      <c r="H66" s="135">
        <v>0</v>
      </c>
      <c r="I66" s="134">
        <v>0</v>
      </c>
      <c r="J66" s="157">
        <f>LOG(G66+([4]Values!$D$8*H66)+([4]Values!$D$9*I66)+(K66*[4]Values!$D$10)+(L66*[4]Values!$D$11)+1)</f>
        <v>3.1243392933856463E-2</v>
      </c>
      <c r="K66" s="169">
        <v>8</v>
      </c>
      <c r="L66" s="168">
        <v>0</v>
      </c>
      <c r="M66" s="167" t="s">
        <v>23</v>
      </c>
    </row>
    <row r="67" spans="1:13" ht="12.3">
      <c r="A67" s="172">
        <v>42802</v>
      </c>
      <c r="B67" s="170" t="s">
        <v>44</v>
      </c>
      <c r="C67" s="171" t="s">
        <v>1343</v>
      </c>
      <c r="D67" s="171">
        <v>5.4</v>
      </c>
      <c r="E67" s="171"/>
      <c r="F67" s="170"/>
      <c r="G67" s="136">
        <v>0</v>
      </c>
      <c r="H67" s="135">
        <v>0</v>
      </c>
      <c r="I67" s="134"/>
      <c r="J67" s="157">
        <f>LOG(G67+([4]Values!$D$8*H67)+([4]Values!$D$9*I67)+(K67*[4]Values!$D$10)+(L67*[4]Values!$D$11)+1)</f>
        <v>0.10711429567364679</v>
      </c>
      <c r="K67" s="169">
        <v>30</v>
      </c>
      <c r="L67" s="168">
        <v>0</v>
      </c>
      <c r="M67" s="167" t="s">
        <v>23</v>
      </c>
    </row>
    <row r="68" spans="1:13" ht="12.3">
      <c r="A68" s="172">
        <v>42803</v>
      </c>
      <c r="B68" s="170" t="s">
        <v>317</v>
      </c>
      <c r="C68" s="171" t="s">
        <v>716</v>
      </c>
      <c r="D68" s="171">
        <v>2.7</v>
      </c>
      <c r="E68" s="171"/>
      <c r="F68" s="170"/>
      <c r="G68" s="136">
        <v>0</v>
      </c>
      <c r="H68" s="135">
        <v>1</v>
      </c>
      <c r="I68" s="134">
        <v>5</v>
      </c>
      <c r="J68" s="157">
        <f>LOG(G68+([4]Values!$D$8*H68)+([4]Values!$D$9*I68)+(K68*[4]Values!$D$10)+(L68*[4]Values!$D$11)+1)</f>
        <v>0.18095700159759567</v>
      </c>
      <c r="K68" s="169">
        <v>1</v>
      </c>
      <c r="L68" s="168">
        <v>5</v>
      </c>
      <c r="M68" s="167" t="s">
        <v>23</v>
      </c>
    </row>
    <row r="69" spans="1:13" ht="12.3">
      <c r="A69" s="172">
        <v>42803</v>
      </c>
      <c r="B69" s="170" t="s">
        <v>346</v>
      </c>
      <c r="C69" s="171" t="s">
        <v>1423</v>
      </c>
      <c r="D69" s="171">
        <v>4.8</v>
      </c>
      <c r="E69" s="171"/>
      <c r="F69" s="170"/>
      <c r="G69" s="136">
        <v>0</v>
      </c>
      <c r="H69" s="135">
        <v>0</v>
      </c>
      <c r="I69" s="134">
        <v>0</v>
      </c>
      <c r="J69" s="157">
        <f>LOG(G69+([4]Values!$D$8*H69)+([4]Values!$D$9*I69)+(K69*[4]Values!$D$10)+(L69*[4]Values!$D$11)+1)</f>
        <v>4.030572192620571E-3</v>
      </c>
      <c r="K69" s="169">
        <v>1</v>
      </c>
      <c r="L69" s="168">
        <v>0</v>
      </c>
      <c r="M69" s="167" t="s">
        <v>23</v>
      </c>
    </row>
    <row r="70" spans="1:13" ht="12.3">
      <c r="A70" s="172">
        <v>42804</v>
      </c>
      <c r="B70" s="170" t="s">
        <v>652</v>
      </c>
      <c r="C70" s="171" t="s">
        <v>1424</v>
      </c>
      <c r="D70" s="171">
        <v>4.5</v>
      </c>
      <c r="E70" s="171"/>
      <c r="F70" s="170"/>
      <c r="G70" s="136">
        <v>0</v>
      </c>
      <c r="H70" s="135">
        <v>0</v>
      </c>
      <c r="I70" s="134">
        <v>0</v>
      </c>
      <c r="J70" s="157">
        <f>LOG(G70+([4]Values!$D$8*H70)+([4]Values!$D$9*I70)+(K70*[4]Values!$D$10)+(L70*[4]Values!$D$11)+1)</f>
        <v>4.030572192620571E-3</v>
      </c>
      <c r="K70" s="169">
        <v>1</v>
      </c>
      <c r="L70" s="168">
        <v>0</v>
      </c>
      <c r="M70" s="167" t="s">
        <v>23</v>
      </c>
    </row>
    <row r="71" spans="1:13" ht="12.3">
      <c r="A71" s="172">
        <v>42803</v>
      </c>
      <c r="B71" s="170" t="s">
        <v>346</v>
      </c>
      <c r="C71" s="171" t="s">
        <v>1423</v>
      </c>
      <c r="D71" s="171">
        <v>5.2</v>
      </c>
      <c r="E71" s="171"/>
      <c r="F71" s="170"/>
      <c r="G71" s="136">
        <v>0</v>
      </c>
      <c r="H71" s="135">
        <v>0</v>
      </c>
      <c r="I71" s="134">
        <v>0</v>
      </c>
      <c r="J71" s="157">
        <f>LOG(G71+([4]Values!$D$8*H71)+([4]Values!$D$9*I71)+(K71*[4]Values!$D$10)+(L71*[4]Values!$D$11)+1)</f>
        <v>3.8715255314556482E-2</v>
      </c>
      <c r="K71" s="169">
        <v>10</v>
      </c>
      <c r="L71" s="168">
        <v>0</v>
      </c>
      <c r="M71" s="167" t="s">
        <v>23</v>
      </c>
    </row>
    <row r="72" spans="1:13" ht="12.3">
      <c r="A72" s="172">
        <v>42805</v>
      </c>
      <c r="B72" s="170" t="s">
        <v>67</v>
      </c>
      <c r="C72" s="171" t="s">
        <v>329</v>
      </c>
      <c r="D72" s="171">
        <v>3.5</v>
      </c>
      <c r="E72" s="171">
        <v>1</v>
      </c>
      <c r="F72" s="170"/>
      <c r="G72" s="136">
        <v>0</v>
      </c>
      <c r="H72" s="135">
        <v>0</v>
      </c>
      <c r="I72" s="134">
        <v>0</v>
      </c>
      <c r="J72" s="157">
        <f>LOG(G72+([4]Values!$D$8*H72)+([4]Values!$D$9*I72)+(K72*[4]Values!$D$10)+(L72*[4]Values!$D$11)+1)</f>
        <v>3.8715255314556482E-2</v>
      </c>
      <c r="K72" s="169">
        <v>10</v>
      </c>
      <c r="L72" s="168">
        <v>0</v>
      </c>
      <c r="M72" s="167" t="s">
        <v>23</v>
      </c>
    </row>
    <row r="73" spans="1:13" ht="12.3">
      <c r="A73" s="153">
        <v>42807</v>
      </c>
      <c r="B73" s="150" t="s">
        <v>226</v>
      </c>
      <c r="C73" s="137" t="s">
        <v>977</v>
      </c>
      <c r="D73" s="137">
        <v>5.0999999999999996</v>
      </c>
      <c r="E73" s="137">
        <v>5</v>
      </c>
      <c r="F73" s="150"/>
      <c r="G73" s="136">
        <v>0</v>
      </c>
      <c r="H73" s="135">
        <v>52</v>
      </c>
      <c r="I73" s="134">
        <v>250</v>
      </c>
      <c r="J73" s="157">
        <f>LOG(G73+([4]Values!$D$8*H73)+([4]Values!$D$9*I73)+(K73*[4]Values!$D$10)+(L73*[4]Values!$D$11)+1)</f>
        <v>1.3327900445606495</v>
      </c>
      <c r="K73" s="133">
        <v>200</v>
      </c>
      <c r="L73" s="160">
        <v>20</v>
      </c>
      <c r="M73" s="148" t="s">
        <v>23</v>
      </c>
    </row>
    <row r="74" spans="1:13" ht="12.3">
      <c r="A74" s="172">
        <v>42811</v>
      </c>
      <c r="B74" s="170" t="s">
        <v>17</v>
      </c>
      <c r="C74" s="171" t="s">
        <v>129</v>
      </c>
      <c r="D74" s="171">
        <v>4.3</v>
      </c>
      <c r="E74" s="171"/>
      <c r="F74" s="170"/>
      <c r="G74" s="136">
        <v>0</v>
      </c>
      <c r="H74" s="135">
        <v>0</v>
      </c>
      <c r="I74" s="134">
        <v>0</v>
      </c>
      <c r="J74" s="157">
        <f>LOG(G74+([4]Values!$D$8*H74)+([4]Values!$D$9*I74)+(K74*[4]Values!$D$10)+(L74*[4]Values!$D$11)+1)</f>
        <v>1.9788894635760546E-2</v>
      </c>
      <c r="K74" s="169">
        <v>5</v>
      </c>
      <c r="L74" s="168">
        <v>0</v>
      </c>
      <c r="M74" s="167" t="s">
        <v>23</v>
      </c>
    </row>
    <row r="75" spans="1:13" ht="12.3">
      <c r="A75" s="172">
        <v>42815</v>
      </c>
      <c r="B75" s="170" t="s">
        <v>44</v>
      </c>
      <c r="C75" s="171" t="s">
        <v>983</v>
      </c>
      <c r="D75" s="170">
        <v>5.7</v>
      </c>
      <c r="E75" s="171"/>
      <c r="F75" s="170"/>
      <c r="G75" s="136">
        <v>0</v>
      </c>
      <c r="H75" s="135">
        <v>4</v>
      </c>
      <c r="I75" s="134"/>
      <c r="J75" s="157">
        <f>LOG(G75+([4]Values!$D$8*H75)+([4]Values!$D$9*I75)+(K75*[4]Values!$D$10)+(L75*[4]Values!$D$11)+1)</f>
        <v>0.75997409864489096</v>
      </c>
      <c r="K75" s="169">
        <v>400</v>
      </c>
      <c r="L75" s="168">
        <v>0</v>
      </c>
      <c r="M75" s="167" t="s">
        <v>23</v>
      </c>
    </row>
    <row r="76" spans="1:13" ht="12.3">
      <c r="A76" s="172">
        <v>42816</v>
      </c>
      <c r="B76" s="170" t="s">
        <v>62</v>
      </c>
      <c r="C76" s="171" t="s">
        <v>1422</v>
      </c>
      <c r="D76" s="171">
        <v>3.4</v>
      </c>
      <c r="E76" s="171"/>
      <c r="F76" s="170"/>
      <c r="G76" s="136">
        <v>0</v>
      </c>
      <c r="H76" s="135">
        <v>0</v>
      </c>
      <c r="I76" s="134">
        <v>0</v>
      </c>
      <c r="J76" s="157">
        <f>LOG(G76+([4]Values!$D$8*H76)+([4]Values!$D$9*I76)+(K76*[4]Values!$D$10)+(L76*[4]Values!$D$11)+1)</f>
        <v>1.5902594341210354E-2</v>
      </c>
      <c r="K76" s="169">
        <v>4</v>
      </c>
      <c r="L76" s="168">
        <v>0</v>
      </c>
      <c r="M76" s="167" t="s">
        <v>23</v>
      </c>
    </row>
    <row r="77" spans="1:13" ht="12.3">
      <c r="A77" s="178">
        <v>42820</v>
      </c>
      <c r="B77" s="170" t="s">
        <v>83</v>
      </c>
      <c r="C77" s="170" t="s">
        <v>323</v>
      </c>
      <c r="D77" s="170">
        <v>5.0999999999999996</v>
      </c>
      <c r="E77" s="170">
        <v>12</v>
      </c>
      <c r="F77" s="170"/>
      <c r="G77" s="136">
        <v>0</v>
      </c>
      <c r="H77" s="135">
        <v>1</v>
      </c>
      <c r="I77" s="179" t="s">
        <v>1421</v>
      </c>
      <c r="J77" s="157">
        <f>LOG(G77+([4]Values!$D$8*H77)+([4]Values!$D$9*I77)+(K77*[4]Values!$D$10)+(L77*[4]Values!$D$11)+1)</f>
        <v>2.2909553718449889</v>
      </c>
      <c r="K77" s="168">
        <v>6043</v>
      </c>
      <c r="L77" s="168">
        <v>1218</v>
      </c>
      <c r="M77" s="177" t="s">
        <v>23</v>
      </c>
    </row>
    <row r="78" spans="1:13" ht="12.3">
      <c r="A78" s="172">
        <v>42821</v>
      </c>
      <c r="B78" s="170" t="s">
        <v>33</v>
      </c>
      <c r="C78" s="171" t="s">
        <v>1420</v>
      </c>
      <c r="D78" s="170">
        <v>5.7</v>
      </c>
      <c r="E78" s="171">
        <v>10</v>
      </c>
      <c r="F78" s="170"/>
      <c r="G78" s="136">
        <v>0</v>
      </c>
      <c r="H78" s="135">
        <v>0</v>
      </c>
      <c r="I78" s="134">
        <v>0</v>
      </c>
      <c r="J78" s="157">
        <f>LOG(G78+([4]Values!$D$8*H78)+([4]Values!$D$9*I78)+(K78*[4]Values!$D$10)+(L78*[4]Values!$D$11)+1)</f>
        <v>4.60607385378555E-2</v>
      </c>
      <c r="K78" s="169">
        <v>12</v>
      </c>
      <c r="L78" s="168">
        <v>0</v>
      </c>
      <c r="M78" s="167" t="s">
        <v>23</v>
      </c>
    </row>
    <row r="79" spans="1:13" ht="12.3">
      <c r="A79" s="155">
        <v>42827</v>
      </c>
      <c r="B79" s="145" t="s">
        <v>24</v>
      </c>
      <c r="C79" s="145" t="s">
        <v>191</v>
      </c>
      <c r="D79" s="146">
        <v>2.9</v>
      </c>
      <c r="E79" s="145"/>
      <c r="F79" s="145"/>
      <c r="G79" s="136">
        <v>1</v>
      </c>
      <c r="H79" s="135">
        <v>0</v>
      </c>
      <c r="I79" s="144">
        <v>0</v>
      </c>
      <c r="J79" s="157">
        <f>LOG(G79+([4]Values!$D$8*H79)+([4]Values!$D$9*I79)+(K79*[4]Values!$D$10)+(L79*[4]Values!$D$11)+1)</f>
        <v>0.32467072210640197</v>
      </c>
      <c r="K79" s="142">
        <v>12</v>
      </c>
      <c r="L79" s="142">
        <v>0</v>
      </c>
      <c r="M79" s="141" t="s">
        <v>23</v>
      </c>
    </row>
    <row r="80" spans="1:13" ht="12.3">
      <c r="A80" s="172">
        <v>42827</v>
      </c>
      <c r="B80" s="170" t="s">
        <v>591</v>
      </c>
      <c r="C80" s="171" t="s">
        <v>592</v>
      </c>
      <c r="D80" s="171">
        <v>5.3</v>
      </c>
      <c r="E80" s="171">
        <v>10</v>
      </c>
      <c r="F80" s="170" t="s">
        <v>123</v>
      </c>
      <c r="G80" s="136">
        <v>0</v>
      </c>
      <c r="H80" s="135">
        <v>0</v>
      </c>
      <c r="I80" s="134">
        <v>30</v>
      </c>
      <c r="J80" s="157">
        <f>LOG(G80+([4]Values!$D$8*H80)+([4]Values!$D$9*I80)+(K80*[4]Values!$D$10)+(L80*[4]Values!$D$11)+1)</f>
        <v>0.3678596373533804</v>
      </c>
      <c r="K80" s="169">
        <v>25</v>
      </c>
      <c r="L80" s="168">
        <v>17</v>
      </c>
      <c r="M80" s="167" t="s">
        <v>23</v>
      </c>
    </row>
    <row r="81" spans="1:13" ht="12.3">
      <c r="A81" s="172">
        <v>42828</v>
      </c>
      <c r="B81" s="170" t="s">
        <v>942</v>
      </c>
      <c r="C81" s="171" t="s">
        <v>1419</v>
      </c>
      <c r="D81" s="171">
        <v>5.2</v>
      </c>
      <c r="E81" s="171">
        <v>5</v>
      </c>
      <c r="F81" s="170" t="s">
        <v>123</v>
      </c>
      <c r="G81" s="136"/>
      <c r="H81" s="135"/>
      <c r="I81" s="134"/>
      <c r="J81" s="157">
        <f>LOG(G81+([4]Values!$D$8*H81)+([4]Values!$D$9*I81)+(K81*[4]Values!$D$10)+(L81*[4]Values!$D$11)+1)</f>
        <v>5.6851142226527845E-2</v>
      </c>
      <c r="K81" s="169">
        <v>15</v>
      </c>
      <c r="L81" s="168"/>
      <c r="M81" s="167" t="s">
        <v>23</v>
      </c>
    </row>
    <row r="82" spans="1:13" ht="12.3">
      <c r="A82" s="172">
        <v>42828</v>
      </c>
      <c r="B82" s="170" t="s">
        <v>735</v>
      </c>
      <c r="C82" s="171" t="s">
        <v>1418</v>
      </c>
      <c r="D82" s="170">
        <v>6.5</v>
      </c>
      <c r="E82" s="171">
        <v>29</v>
      </c>
      <c r="F82" s="170"/>
      <c r="G82" s="136">
        <v>0</v>
      </c>
      <c r="H82" s="135">
        <v>36</v>
      </c>
      <c r="I82" s="134"/>
      <c r="J82" s="157">
        <f>LOG(G82+([4]Values!$D$8*H82)+([4]Values!$D$9*I82)+(K82*[4]Values!$D$10)+(L82*[4]Values!$D$11)+1)</f>
        <v>1.0138018450588735</v>
      </c>
      <c r="K82" s="169">
        <v>11</v>
      </c>
      <c r="L82" s="168"/>
      <c r="M82" s="167" t="s">
        <v>23</v>
      </c>
    </row>
    <row r="83" spans="1:13" ht="12.3">
      <c r="A83" s="172">
        <v>42829</v>
      </c>
      <c r="B83" s="170" t="s">
        <v>1417</v>
      </c>
      <c r="C83" s="171" t="s">
        <v>1416</v>
      </c>
      <c r="D83" s="171">
        <v>5.4</v>
      </c>
      <c r="E83" s="171"/>
      <c r="F83" s="170"/>
      <c r="G83" s="136">
        <v>0</v>
      </c>
      <c r="H83" s="135">
        <v>0</v>
      </c>
      <c r="I83" s="134">
        <v>0</v>
      </c>
      <c r="J83" s="157">
        <f>LOG(G83+([4]Values!$D$8*H83)+([4]Values!$D$9*I83)+(K83*[4]Values!$D$10)+(L83*[4]Values!$D$11)+1)</f>
        <v>3.1243392933856463E-2</v>
      </c>
      <c r="K83" s="169">
        <v>8</v>
      </c>
      <c r="L83" s="168">
        <v>0</v>
      </c>
      <c r="M83" s="167" t="s">
        <v>23</v>
      </c>
    </row>
    <row r="84" spans="1:13" ht="12.3">
      <c r="A84" s="172">
        <v>42829</v>
      </c>
      <c r="B84" s="170" t="s">
        <v>62</v>
      </c>
      <c r="C84" s="171" t="s">
        <v>1414</v>
      </c>
      <c r="D84" s="170">
        <v>5.5</v>
      </c>
      <c r="E84" s="171"/>
      <c r="F84" s="170"/>
      <c r="G84" s="136">
        <v>0</v>
      </c>
      <c r="H84" s="135">
        <v>0</v>
      </c>
      <c r="I84" s="134">
        <v>0</v>
      </c>
      <c r="J84" s="157">
        <f>LOG(G84+([4]Values!$D$8*H84)+([4]Values!$D$9*I84)+(K84*[4]Values!$D$10)+(L84*[4]Values!$D$11)+1)</f>
        <v>0.13765706232180555</v>
      </c>
      <c r="K84" s="169">
        <v>40</v>
      </c>
      <c r="L84" s="168">
        <v>0</v>
      </c>
      <c r="M84" s="167" t="s">
        <v>23</v>
      </c>
    </row>
    <row r="85" spans="1:13" ht="12.3">
      <c r="A85" s="155">
        <v>42830</v>
      </c>
      <c r="B85" s="145" t="s">
        <v>17</v>
      </c>
      <c r="C85" s="145" t="s">
        <v>18</v>
      </c>
      <c r="D85" s="146">
        <v>6</v>
      </c>
      <c r="E85" s="145">
        <v>6</v>
      </c>
      <c r="F85" s="145" t="s">
        <v>363</v>
      </c>
      <c r="G85" s="136">
        <v>1</v>
      </c>
      <c r="H85" s="135">
        <v>40</v>
      </c>
      <c r="I85" s="144">
        <v>5488</v>
      </c>
      <c r="J85" s="157">
        <f>LOG(G85+([4]Values!$D$8*H85)+([4]Values!$D$9*I85)+(K85*[4]Values!$D$10)+(L85*[4]Values!$D$11)+1)</f>
        <v>2.3001068216471037</v>
      </c>
      <c r="K85" s="142">
        <f>5779-L85</f>
        <v>4417</v>
      </c>
      <c r="L85" s="142">
        <v>1362</v>
      </c>
      <c r="M85" s="141" t="s">
        <v>23</v>
      </c>
    </row>
    <row r="86" spans="1:13" ht="12.3">
      <c r="A86" s="172">
        <v>42830</v>
      </c>
      <c r="B86" s="170" t="s">
        <v>156</v>
      </c>
      <c r="C86" s="171" t="s">
        <v>1415</v>
      </c>
      <c r="D86" s="171">
        <v>4.5</v>
      </c>
      <c r="E86" s="171">
        <v>8</v>
      </c>
      <c r="F86" s="170" t="s">
        <v>365</v>
      </c>
      <c r="G86" s="136">
        <v>0</v>
      </c>
      <c r="H86" s="135">
        <v>0</v>
      </c>
      <c r="I86" s="134">
        <v>0</v>
      </c>
      <c r="J86" s="157">
        <f>LOG(G86+([4]Values!$D$8*H86)+([4]Values!$D$9*I86)+(K86*[4]Values!$D$10)+(L86*[4]Values!$D$11)+1)</f>
        <v>7.4259946119613868E-2</v>
      </c>
      <c r="K86" s="169">
        <v>20</v>
      </c>
      <c r="L86" s="168">
        <v>0</v>
      </c>
      <c r="M86" s="167" t="s">
        <v>23</v>
      </c>
    </row>
    <row r="87" spans="1:13" ht="12.3">
      <c r="A87" s="178">
        <v>42833</v>
      </c>
      <c r="B87" s="170" t="s">
        <v>62</v>
      </c>
      <c r="C87" s="170" t="s">
        <v>1414</v>
      </c>
      <c r="D87" s="176">
        <v>6</v>
      </c>
      <c r="E87" s="170"/>
      <c r="F87" s="170" t="s">
        <v>1299</v>
      </c>
      <c r="G87" s="136">
        <v>0</v>
      </c>
      <c r="H87" s="135">
        <v>6</v>
      </c>
      <c r="I87" s="163">
        <v>3578</v>
      </c>
      <c r="J87" s="157">
        <f>LOG(G87+([4]Values!$D$8*H87)+([4]Values!$D$9*I87)+(K87*[4]Values!$D$10)+(L87*[4]Values!$D$11)+1)</f>
        <v>2.0526071297242354</v>
      </c>
      <c r="K87" s="168">
        <v>2695</v>
      </c>
      <c r="L87" s="168">
        <v>568</v>
      </c>
      <c r="M87" s="177" t="s">
        <v>23</v>
      </c>
    </row>
    <row r="88" spans="1:13" ht="12.3">
      <c r="A88" s="172">
        <v>42833</v>
      </c>
      <c r="B88" s="170" t="s">
        <v>292</v>
      </c>
      <c r="C88" s="171" t="s">
        <v>1413</v>
      </c>
      <c r="D88" s="171">
        <v>5.0999999999999996</v>
      </c>
      <c r="E88" s="171"/>
      <c r="F88" s="170"/>
      <c r="G88" s="136">
        <v>0</v>
      </c>
      <c r="H88" s="135">
        <v>0</v>
      </c>
      <c r="I88" s="134">
        <v>10</v>
      </c>
      <c r="J88" s="157">
        <f>LOG(G88+([4]Values!$D$8*H88)+([4]Values!$D$9*I88)+(K88*[4]Values!$D$10)+(L88*[4]Values!$D$11)+1)</f>
        <v>0.12625485705686798</v>
      </c>
      <c r="K88" s="169">
        <v>16</v>
      </c>
      <c r="L88" s="168">
        <v>0</v>
      </c>
      <c r="M88" s="167" t="s">
        <v>23</v>
      </c>
    </row>
    <row r="89" spans="1:13" ht="12.3">
      <c r="A89" s="153">
        <v>42835</v>
      </c>
      <c r="B89" s="150" t="s">
        <v>24</v>
      </c>
      <c r="C89" s="137" t="s">
        <v>191</v>
      </c>
      <c r="D89" s="137"/>
      <c r="E89" s="137"/>
      <c r="F89" s="150"/>
      <c r="G89" s="136">
        <v>0</v>
      </c>
      <c r="H89" s="135">
        <v>0</v>
      </c>
      <c r="I89" s="134">
        <v>0</v>
      </c>
      <c r="J89" s="157">
        <f>LOG(G89+([4]Values!$D$8*H89)+([4]Values!$D$9*I89)+(K89*[4]Values!$D$10)+(L89*[4]Values!$D$11)+1)</f>
        <v>3.8715255314556482E-2</v>
      </c>
      <c r="K89" s="133">
        <v>10</v>
      </c>
      <c r="L89" s="160">
        <v>0</v>
      </c>
      <c r="M89" s="149" t="s">
        <v>23</v>
      </c>
    </row>
    <row r="90" spans="1:13" ht="12.3">
      <c r="A90" s="155">
        <v>42835</v>
      </c>
      <c r="B90" s="145" t="s">
        <v>404</v>
      </c>
      <c r="C90" s="145" t="s">
        <v>973</v>
      </c>
      <c r="D90" s="145">
        <v>4.8</v>
      </c>
      <c r="E90" s="145">
        <v>10</v>
      </c>
      <c r="F90" s="145"/>
      <c r="G90" s="136">
        <v>1</v>
      </c>
      <c r="H90" s="135">
        <v>2</v>
      </c>
      <c r="I90" s="144"/>
      <c r="J90" s="157">
        <f>LOG(G90+([4]Values!$D$8*H90)+([4]Values!$D$9*I90)+(K90*[4]Values!$D$10)+(L90*[4]Values!$D$11)+1)</f>
        <v>0.68513463156294174</v>
      </c>
      <c r="K90" s="142">
        <v>250</v>
      </c>
      <c r="L90" s="142"/>
      <c r="M90" s="141" t="s">
        <v>23</v>
      </c>
    </row>
    <row r="91" spans="1:13" ht="12.3">
      <c r="A91" s="172">
        <v>42836</v>
      </c>
      <c r="B91" s="170" t="s">
        <v>62</v>
      </c>
      <c r="C91" s="171" t="s">
        <v>1412</v>
      </c>
      <c r="D91" s="176">
        <v>6</v>
      </c>
      <c r="E91" s="171">
        <v>3</v>
      </c>
      <c r="F91" s="170" t="s">
        <v>1299</v>
      </c>
      <c r="G91" s="136">
        <v>0</v>
      </c>
      <c r="H91" s="135">
        <v>1</v>
      </c>
      <c r="I91" s="134">
        <v>5027</v>
      </c>
      <c r="J91" s="157">
        <f>LOG(G91+([4]Values!$D$8*H91)+([4]Values!$D$9*I91)+(K91*[4]Values!$D$10)+(L91*[4]Values!$D$11)+1)</f>
        <v>2.0216729260325201</v>
      </c>
      <c r="K91" s="169">
        <v>817</v>
      </c>
      <c r="L91" s="168">
        <v>52</v>
      </c>
      <c r="M91" s="167" t="s">
        <v>23</v>
      </c>
    </row>
    <row r="92" spans="1:13" ht="12.3">
      <c r="A92" s="172">
        <v>42837</v>
      </c>
      <c r="B92" s="170" t="s">
        <v>83</v>
      </c>
      <c r="C92" s="171" t="s">
        <v>1411</v>
      </c>
      <c r="D92" s="171">
        <v>4.2</v>
      </c>
      <c r="E92" s="171"/>
      <c r="F92" s="170"/>
      <c r="G92" s="136">
        <v>0</v>
      </c>
      <c r="H92" s="135">
        <v>0</v>
      </c>
      <c r="I92" s="134"/>
      <c r="J92" s="157">
        <f>LOG(G92+([4]Values!$D$8*H92)+([4]Values!$D$9*I92)+(K92*[4]Values!$D$10)+(L92*[4]Values!$D$11)+1)</f>
        <v>0.1521589773718402</v>
      </c>
      <c r="K92" s="169">
        <v>45</v>
      </c>
      <c r="L92" s="168">
        <v>0</v>
      </c>
      <c r="M92" s="167" t="s">
        <v>23</v>
      </c>
    </row>
    <row r="93" spans="1:13" ht="12.3">
      <c r="A93" s="172">
        <v>42843</v>
      </c>
      <c r="B93" s="170" t="s">
        <v>24</v>
      </c>
      <c r="C93" s="171" t="s">
        <v>191</v>
      </c>
      <c r="D93" s="171">
        <v>3.4</v>
      </c>
      <c r="E93" s="171"/>
      <c r="F93" s="170"/>
      <c r="G93" s="136">
        <v>0</v>
      </c>
      <c r="H93" s="135">
        <v>0</v>
      </c>
      <c r="I93" s="134">
        <v>0</v>
      </c>
      <c r="J93" s="157">
        <f>LOG(G93+([4]Values!$D$8*H93)+([4]Values!$D$9*I93)+(K93*[4]Values!$D$10)+(L93*[4]Values!$D$11)+1)</f>
        <v>5.6851142226527845E-2</v>
      </c>
      <c r="K93" s="169">
        <v>15</v>
      </c>
      <c r="L93" s="168">
        <v>0</v>
      </c>
      <c r="M93" s="167" t="s">
        <v>23</v>
      </c>
    </row>
    <row r="94" spans="1:13" ht="12.3">
      <c r="A94" s="172">
        <v>42843</v>
      </c>
      <c r="B94" s="170" t="s">
        <v>226</v>
      </c>
      <c r="C94" s="171" t="s">
        <v>1410</v>
      </c>
      <c r="D94" s="171">
        <v>4.7</v>
      </c>
      <c r="E94" s="171"/>
      <c r="F94" s="170"/>
      <c r="G94" s="136">
        <v>0</v>
      </c>
      <c r="H94" s="135">
        <v>0</v>
      </c>
      <c r="I94" s="134">
        <v>0</v>
      </c>
      <c r="J94" s="157">
        <f>LOG(G94+([4]Values!$D$8*H94)+([4]Values!$D$9*I94)+(K94*[4]Values!$D$10)+(L94*[4]Values!$D$11)+1)</f>
        <v>4.030572192620571E-3</v>
      </c>
      <c r="K94" s="169">
        <v>1</v>
      </c>
      <c r="L94" s="168">
        <v>0</v>
      </c>
      <c r="M94" s="167" t="s">
        <v>23</v>
      </c>
    </row>
    <row r="95" spans="1:13" ht="12.3">
      <c r="A95" s="172">
        <v>42846</v>
      </c>
      <c r="B95" s="170" t="s">
        <v>105</v>
      </c>
      <c r="C95" s="171" t="s">
        <v>106</v>
      </c>
      <c r="D95" s="171">
        <v>5.0999999999999996</v>
      </c>
      <c r="E95" s="171">
        <v>6</v>
      </c>
      <c r="F95" s="170"/>
      <c r="G95" s="136">
        <v>0</v>
      </c>
      <c r="H95" s="135">
        <v>0</v>
      </c>
      <c r="I95" s="134">
        <v>15</v>
      </c>
      <c r="J95" s="157">
        <f>LOG(G95+([4]Values!$D$8*H95)+([4]Values!$D$9*I95)+(K95*[4]Values!$D$10)+(L95*[4]Values!$D$11)+1)</f>
        <v>0.1425016598811624</v>
      </c>
      <c r="K95" s="169">
        <v>8</v>
      </c>
      <c r="L95" s="168">
        <v>1</v>
      </c>
      <c r="M95" s="167" t="s">
        <v>23</v>
      </c>
    </row>
    <row r="96" spans="1:13" ht="12.3">
      <c r="A96" s="172">
        <v>42846</v>
      </c>
      <c r="B96" s="170" t="s">
        <v>105</v>
      </c>
      <c r="C96" s="171" t="s">
        <v>106</v>
      </c>
      <c r="D96" s="171">
        <v>5.0999999999999996</v>
      </c>
      <c r="E96" s="171">
        <v>10</v>
      </c>
      <c r="F96" s="170"/>
      <c r="G96" s="136">
        <v>0</v>
      </c>
      <c r="H96" s="135">
        <v>0</v>
      </c>
      <c r="I96" s="134"/>
      <c r="J96" s="157">
        <f>LOG(G96+([4]Values!$D$8*H96)+([4]Values!$D$9*I96)+(K96*[4]Values!$D$10)+(L96*[4]Values!$D$11)+1)</f>
        <v>0.12265412254593516</v>
      </c>
      <c r="K96" s="169">
        <v>35</v>
      </c>
      <c r="L96" s="168"/>
      <c r="M96" s="167" t="s">
        <v>23</v>
      </c>
    </row>
    <row r="97" spans="1:13" ht="12.3">
      <c r="A97" s="172">
        <v>42849</v>
      </c>
      <c r="B97" s="170" t="s">
        <v>1409</v>
      </c>
      <c r="C97" s="171" t="s">
        <v>1408</v>
      </c>
      <c r="D97" s="175"/>
      <c r="E97" s="171"/>
      <c r="F97" s="170"/>
      <c r="G97" s="136">
        <v>0</v>
      </c>
      <c r="H97" s="135">
        <v>0</v>
      </c>
      <c r="I97" s="134">
        <v>50</v>
      </c>
      <c r="J97" s="157">
        <f>LOG(G97+([4]Values!$D$8*H97)+([4]Values!$D$9*I97)+(K97*[4]Values!$D$10)+(L97*[4]Values!$D$11)+1)</f>
        <v>0.41196257519435381</v>
      </c>
      <c r="K97" s="169">
        <v>35</v>
      </c>
      <c r="L97" s="168">
        <v>10</v>
      </c>
      <c r="M97" s="167" t="s">
        <v>23</v>
      </c>
    </row>
    <row r="98" spans="1:13" ht="12.3">
      <c r="A98" s="172">
        <v>42849</v>
      </c>
      <c r="B98" s="170" t="s">
        <v>359</v>
      </c>
      <c r="C98" s="171" t="s">
        <v>1407</v>
      </c>
      <c r="D98" s="170">
        <v>6.9</v>
      </c>
      <c r="E98" s="171">
        <v>25</v>
      </c>
      <c r="F98" s="170" t="s">
        <v>123</v>
      </c>
      <c r="G98" s="136">
        <v>0</v>
      </c>
      <c r="H98" s="135">
        <v>0</v>
      </c>
      <c r="I98" s="134">
        <v>0</v>
      </c>
      <c r="J98" s="157">
        <f>LOG(G98+([4]Values!$D$8*H98)+([4]Values!$D$9*I98)+(K98*[4]Values!$D$10)+(L98*[4]Values!$D$11)+1)</f>
        <v>1.9788894635760546E-2</v>
      </c>
      <c r="K98" s="169">
        <v>5</v>
      </c>
      <c r="L98" s="168">
        <v>0</v>
      </c>
      <c r="M98" s="167" t="s">
        <v>1406</v>
      </c>
    </row>
    <row r="99" spans="1:13" ht="12.3">
      <c r="A99" s="172">
        <v>42853</v>
      </c>
      <c r="B99" s="170" t="s">
        <v>62</v>
      </c>
      <c r="C99" s="171" t="s">
        <v>1405</v>
      </c>
      <c r="D99" s="170">
        <v>6.8</v>
      </c>
      <c r="E99" s="171"/>
      <c r="F99" s="170" t="s">
        <v>123</v>
      </c>
      <c r="G99" s="136">
        <v>0</v>
      </c>
      <c r="H99" s="135">
        <v>5</v>
      </c>
      <c r="I99" s="134">
        <v>15</v>
      </c>
      <c r="J99" s="157">
        <f>LOG(G99+([4]Values!$D$8*H99)+([4]Values!$D$9*I99)+(K99*[4]Values!$D$10)+(L99*[4]Values!$D$11)+1)</f>
        <v>0.46061018122570657</v>
      </c>
      <c r="K99" s="169">
        <v>18</v>
      </c>
      <c r="L99" s="168">
        <v>5</v>
      </c>
      <c r="M99" s="167" t="s">
        <v>705</v>
      </c>
    </row>
    <row r="100" spans="1:13" ht="12.3">
      <c r="A100" s="172">
        <v>42854</v>
      </c>
      <c r="B100" s="170" t="s">
        <v>378</v>
      </c>
      <c r="C100" s="171" t="s">
        <v>1404</v>
      </c>
      <c r="D100" s="171">
        <v>4.5999999999999996</v>
      </c>
      <c r="E100" s="171"/>
      <c r="F100" s="170"/>
      <c r="G100" s="136">
        <v>0</v>
      </c>
      <c r="H100" s="135">
        <v>0</v>
      </c>
      <c r="I100" s="134">
        <v>0</v>
      </c>
      <c r="J100" s="157">
        <f>LOG(G100+([4]Values!$D$8*H100)+([4]Values!$D$9*I100)+(K100*[4]Values!$D$10)+(L100*[4]Values!$D$11)+1)</f>
        <v>1.1981203095237175E-2</v>
      </c>
      <c r="K100" s="169">
        <v>3</v>
      </c>
      <c r="L100" s="168">
        <v>0</v>
      </c>
      <c r="M100" s="167" t="s">
        <v>23</v>
      </c>
    </row>
    <row r="101" spans="1:13" ht="12.3">
      <c r="A101" s="172">
        <v>42854</v>
      </c>
      <c r="B101" s="170" t="s">
        <v>33</v>
      </c>
      <c r="C101" s="171" t="s">
        <v>1403</v>
      </c>
      <c r="D101" s="171">
        <v>4.5999999999999996</v>
      </c>
      <c r="E101" s="171">
        <v>12</v>
      </c>
      <c r="F101" s="170"/>
      <c r="G101" s="136">
        <v>0</v>
      </c>
      <c r="H101" s="135">
        <v>1</v>
      </c>
      <c r="I101" s="134">
        <v>20</v>
      </c>
      <c r="J101" s="157">
        <f>LOG(G101+([4]Values!$D$8*H101)+([4]Values!$D$9*I101)+(K101*[4]Values!$D$10)+(L101*[4]Values!$D$11)+1)</f>
        <v>0.27514687348700057</v>
      </c>
      <c r="K101" s="169"/>
      <c r="L101" s="168">
        <v>8</v>
      </c>
      <c r="M101" s="167" t="s">
        <v>23</v>
      </c>
    </row>
    <row r="102" spans="1:13" ht="12.3">
      <c r="A102" s="172">
        <v>42855</v>
      </c>
      <c r="B102" s="170" t="s">
        <v>359</v>
      </c>
      <c r="C102" s="171" t="s">
        <v>1402</v>
      </c>
      <c r="D102" s="174">
        <v>4</v>
      </c>
      <c r="E102" s="171"/>
      <c r="F102" s="170"/>
      <c r="G102" s="136">
        <v>0</v>
      </c>
      <c r="H102" s="135">
        <v>0</v>
      </c>
      <c r="I102" s="134">
        <v>0</v>
      </c>
      <c r="J102" s="157">
        <f>LOG(G102+([4]Values!$D$8*H102)+([4]Values!$D$9*I102)+(K102*[4]Values!$D$10)+(L102*[4]Values!$D$11)+1)</f>
        <v>1.3457201014902387E-2</v>
      </c>
      <c r="K102" s="169">
        <v>0</v>
      </c>
      <c r="L102" s="168">
        <v>1</v>
      </c>
      <c r="M102" s="167" t="s">
        <v>23</v>
      </c>
    </row>
    <row r="103" spans="1:13" ht="12.3">
      <c r="A103" s="172">
        <v>42855</v>
      </c>
      <c r="B103" s="170" t="s">
        <v>72</v>
      </c>
      <c r="C103" s="171" t="s">
        <v>223</v>
      </c>
      <c r="D103" s="171">
        <v>4.2</v>
      </c>
      <c r="E103" s="171"/>
      <c r="F103" s="170"/>
      <c r="G103" s="136">
        <v>0</v>
      </c>
      <c r="H103" s="135">
        <v>0</v>
      </c>
      <c r="I103" s="134"/>
      <c r="J103" s="157">
        <f>LOG(G103+([4]Values!$D$8*H103)+([4]Values!$D$9*I103)+(K103*[4]Values!$D$10)+(L103*[4]Values!$D$11)+1)</f>
        <v>0.10194280590934496</v>
      </c>
      <c r="K103" s="169">
        <v>25</v>
      </c>
      <c r="L103" s="168">
        <v>1</v>
      </c>
      <c r="M103" s="167" t="s">
        <v>23</v>
      </c>
    </row>
    <row r="104" spans="1:13" ht="12.3">
      <c r="A104" s="172">
        <v>42856</v>
      </c>
      <c r="B104" s="170" t="s">
        <v>235</v>
      </c>
      <c r="C104" s="171" t="s">
        <v>1401</v>
      </c>
      <c r="D104" s="170">
        <v>6.3</v>
      </c>
      <c r="E104" s="171">
        <v>12</v>
      </c>
      <c r="F104" s="170" t="s">
        <v>363</v>
      </c>
      <c r="G104" s="136">
        <v>0</v>
      </c>
      <c r="H104" s="135">
        <v>0</v>
      </c>
      <c r="I104" s="134">
        <v>0</v>
      </c>
      <c r="J104" s="157">
        <f>LOG(G104+([4]Values!$D$8*H104)+([4]Values!$D$9*I104)+(K104*[4]Values!$D$10)+(L104*[4]Values!$D$11)+1)</f>
        <v>1.5902594341210354E-2</v>
      </c>
      <c r="K104" s="169">
        <v>4</v>
      </c>
      <c r="L104" s="168">
        <v>0</v>
      </c>
      <c r="M104" s="167" t="s">
        <v>635</v>
      </c>
    </row>
    <row r="105" spans="1:13" ht="12.3">
      <c r="A105" s="172">
        <v>42857</v>
      </c>
      <c r="B105" s="170" t="s">
        <v>17</v>
      </c>
      <c r="C105" s="171" t="s">
        <v>18</v>
      </c>
      <c r="D105" s="171">
        <v>5.3</v>
      </c>
      <c r="E105" s="171"/>
      <c r="F105" s="170"/>
      <c r="G105" s="136">
        <v>0</v>
      </c>
      <c r="H105" s="135">
        <v>2</v>
      </c>
      <c r="I105" s="134"/>
      <c r="J105" s="157">
        <f>LOG(G105+([4]Values!$D$8*H105)+([4]Values!$D$9*I105)+(K105*[4]Values!$D$10)+(L105*[4]Values!$D$11)+1)</f>
        <v>0.26172793115921961</v>
      </c>
      <c r="K105" s="169"/>
      <c r="L105" s="168">
        <v>10</v>
      </c>
      <c r="M105" s="167" t="s">
        <v>23</v>
      </c>
    </row>
    <row r="106" spans="1:13" ht="12.3">
      <c r="A106" s="172">
        <v>42858</v>
      </c>
      <c r="B106" s="170" t="s">
        <v>1060</v>
      </c>
      <c r="C106" s="171" t="s">
        <v>1400</v>
      </c>
      <c r="D106" s="170">
        <v>5.9</v>
      </c>
      <c r="E106" s="171"/>
      <c r="F106" s="170" t="s">
        <v>123</v>
      </c>
      <c r="G106" s="136">
        <v>0</v>
      </c>
      <c r="H106" s="135">
        <v>3</v>
      </c>
      <c r="I106" s="134">
        <v>1000</v>
      </c>
      <c r="J106" s="157">
        <f>LOG(G106+([4]Values!$D$8*H106)+([4]Values!$D$9*I106)+(K106*[4]Values!$D$10)+(L106*[4]Values!$D$11)+1)</f>
        <v>1.4591366932695751</v>
      </c>
      <c r="K106" s="169">
        <v>457</v>
      </c>
      <c r="L106" s="168">
        <v>125</v>
      </c>
      <c r="M106" s="167" t="s">
        <v>23</v>
      </c>
    </row>
    <row r="107" spans="1:13" ht="12.3">
      <c r="A107" s="172">
        <v>42858</v>
      </c>
      <c r="B107" s="170" t="s">
        <v>172</v>
      </c>
      <c r="C107" s="171" t="s">
        <v>621</v>
      </c>
      <c r="D107" s="171">
        <v>5.4</v>
      </c>
      <c r="E107" s="171">
        <v>20</v>
      </c>
      <c r="F107" s="170"/>
      <c r="G107" s="136">
        <v>0</v>
      </c>
      <c r="H107" s="135">
        <v>0</v>
      </c>
      <c r="I107" s="134"/>
      <c r="J107" s="157">
        <f>LOG(G107+([4]Values!$D$8*H107)+([4]Values!$D$9*I107)+(K107*[4]Values!$D$10)+(L107*[4]Values!$D$11)+1)</f>
        <v>3.8715255314556482E-2</v>
      </c>
      <c r="K107" s="169">
        <v>10</v>
      </c>
      <c r="L107" s="168"/>
      <c r="M107" s="167" t="s">
        <v>23</v>
      </c>
    </row>
    <row r="108" spans="1:13" ht="12.3">
      <c r="A108" s="172">
        <v>42859</v>
      </c>
      <c r="B108" s="170" t="s">
        <v>83</v>
      </c>
      <c r="C108" s="171" t="s">
        <v>150</v>
      </c>
      <c r="D108" s="171">
        <v>4.9000000000000004</v>
      </c>
      <c r="E108" s="171"/>
      <c r="F108" s="170" t="s">
        <v>35</v>
      </c>
      <c r="G108" s="136">
        <v>0</v>
      </c>
      <c r="H108" s="135">
        <v>5</v>
      </c>
      <c r="I108" s="134">
        <v>92</v>
      </c>
      <c r="J108" s="157">
        <f>LOG(G108+([4]Values!$D$8*H108)+([4]Values!$D$9*I108)+(K108*[4]Values!$D$10)+(L108*[4]Values!$D$11)+1)</f>
        <v>1.8318611101280891</v>
      </c>
      <c r="K108" s="169">
        <v>6646</v>
      </c>
      <c r="L108" s="168">
        <v>61</v>
      </c>
      <c r="M108" s="167" t="s">
        <v>23</v>
      </c>
    </row>
    <row r="109" spans="1:13" ht="12.3">
      <c r="A109" s="172">
        <v>42860</v>
      </c>
      <c r="B109" s="170" t="s">
        <v>1060</v>
      </c>
      <c r="C109" s="171" t="s">
        <v>1400</v>
      </c>
      <c r="D109" s="170">
        <v>5.8</v>
      </c>
      <c r="E109" s="171"/>
      <c r="F109" s="170" t="s">
        <v>123</v>
      </c>
      <c r="G109" s="136">
        <v>0</v>
      </c>
      <c r="H109" s="135">
        <v>2</v>
      </c>
      <c r="I109" s="134">
        <v>4000</v>
      </c>
      <c r="J109" s="157">
        <f>LOG(G109+([4]Values!$D$8*H109)+([4]Values!$D$9*I109)+(K109*[4]Values!$D$10)+(L109*[4]Values!$D$11)+1)</f>
        <v>1.9773332990796653</v>
      </c>
      <c r="K109" s="169">
        <v>516</v>
      </c>
      <c r="L109" s="168">
        <v>423</v>
      </c>
      <c r="M109" s="167" t="s">
        <v>23</v>
      </c>
    </row>
    <row r="110" spans="1:13" ht="12.3">
      <c r="A110" s="155">
        <v>42865</v>
      </c>
      <c r="B110" s="145" t="s">
        <v>83</v>
      </c>
      <c r="C110" s="145" t="s">
        <v>84</v>
      </c>
      <c r="D110" s="145">
        <v>5.5</v>
      </c>
      <c r="E110" s="145">
        <v>8</v>
      </c>
      <c r="F110" s="145" t="s">
        <v>123</v>
      </c>
      <c r="G110" s="136">
        <v>8</v>
      </c>
      <c r="H110" s="135">
        <v>31</v>
      </c>
      <c r="I110" s="144">
        <v>9200</v>
      </c>
      <c r="J110" s="157">
        <f>LOG(G110+([4]Values!$D$8*H110)+([4]Values!$D$9*I110)+(K110*[4]Values!$D$10)+(L110*[4]Values!$D$11)+1)</f>
        <v>2.3159310299887013</v>
      </c>
      <c r="K110" s="142"/>
      <c r="L110" s="142">
        <v>537</v>
      </c>
      <c r="M110" s="141" t="s">
        <v>23</v>
      </c>
    </row>
    <row r="111" spans="1:13" ht="12.3">
      <c r="A111" s="172">
        <v>42866</v>
      </c>
      <c r="B111" s="170" t="s">
        <v>419</v>
      </c>
      <c r="C111" s="171" t="s">
        <v>1399</v>
      </c>
      <c r="D111" s="171">
        <v>5.3</v>
      </c>
      <c r="E111" s="171">
        <v>48</v>
      </c>
      <c r="F111" s="170" t="s">
        <v>134</v>
      </c>
      <c r="G111" s="136">
        <v>0</v>
      </c>
      <c r="H111" s="135">
        <v>20</v>
      </c>
      <c r="I111" s="134"/>
      <c r="J111" s="157">
        <f>LOG(G111+([4]Values!$D$8*H111)+([4]Values!$D$9*I111)+(K111*[4]Values!$D$10)+(L111*[4]Values!$D$11)+1)</f>
        <v>0.8397887559139493</v>
      </c>
      <c r="K111" s="169">
        <v>85</v>
      </c>
      <c r="L111" s="168"/>
      <c r="M111" s="167" t="s">
        <v>23</v>
      </c>
    </row>
    <row r="112" spans="1:13" ht="12.3">
      <c r="A112" s="172">
        <v>42866</v>
      </c>
      <c r="B112" s="170" t="s">
        <v>105</v>
      </c>
      <c r="C112" s="171" t="s">
        <v>1398</v>
      </c>
      <c r="D112" s="174">
        <v>5</v>
      </c>
      <c r="E112" s="171">
        <v>4</v>
      </c>
      <c r="F112" s="170"/>
      <c r="G112" s="136">
        <v>0</v>
      </c>
      <c r="H112" s="135">
        <v>0</v>
      </c>
      <c r="I112" s="134"/>
      <c r="J112" s="157">
        <f>LOG(G112+([4]Values!$D$8*H112)+([4]Values!$D$9*I112)+(K112*[4]Values!$D$10)+(L112*[4]Values!$D$11)+1)</f>
        <v>9.0997725520269523E-2</v>
      </c>
      <c r="K112" s="169">
        <v>25</v>
      </c>
      <c r="L112" s="168"/>
      <c r="M112" s="167" t="s">
        <v>23</v>
      </c>
    </row>
    <row r="113" spans="1:13" ht="12.3">
      <c r="A113" s="155">
        <v>42868</v>
      </c>
      <c r="B113" s="145" t="s">
        <v>17</v>
      </c>
      <c r="C113" s="145" t="s">
        <v>1397</v>
      </c>
      <c r="D113" s="145">
        <v>5.7</v>
      </c>
      <c r="E113" s="145">
        <v>11</v>
      </c>
      <c r="F113" s="145" t="s">
        <v>123</v>
      </c>
      <c r="G113" s="136">
        <v>3</v>
      </c>
      <c r="H113" s="135">
        <v>417</v>
      </c>
      <c r="I113" s="144">
        <v>5100</v>
      </c>
      <c r="J113" s="157">
        <f>LOG(G113+([4]Values!$D$8*H113)+([4]Values!$D$9*I113)+(K113*[4]Values!$D$10)+(L113*[4]Values!$D$11)+1)</f>
        <v>2.654396772013877</v>
      </c>
      <c r="K113" s="142">
        <f>14509-L113</f>
        <v>9580</v>
      </c>
      <c r="L113" s="142">
        <v>4929</v>
      </c>
      <c r="M113" s="141" t="s">
        <v>23</v>
      </c>
    </row>
    <row r="114" spans="1:13" ht="12.3">
      <c r="A114" s="172">
        <v>42870</v>
      </c>
      <c r="B114" s="170" t="s">
        <v>24</v>
      </c>
      <c r="C114" s="171" t="s">
        <v>191</v>
      </c>
      <c r="D114" s="171"/>
      <c r="E114" s="171"/>
      <c r="F114" s="170"/>
      <c r="G114" s="136">
        <v>0</v>
      </c>
      <c r="H114" s="135">
        <v>0</v>
      </c>
      <c r="I114" s="134">
        <v>0</v>
      </c>
      <c r="J114" s="157">
        <f>LOG(G114+([4]Values!$D$8*H114)+([4]Values!$D$9*I114)+(K114*[4]Values!$D$10)+(L114*[4]Values!$D$11)+1)</f>
        <v>5.6851142226527845E-2</v>
      </c>
      <c r="K114" s="169">
        <v>15</v>
      </c>
      <c r="L114" s="168">
        <v>0</v>
      </c>
      <c r="M114" s="167" t="s">
        <v>23</v>
      </c>
    </row>
    <row r="115" spans="1:13" ht="12.3">
      <c r="A115" s="172">
        <v>42871</v>
      </c>
      <c r="B115" s="170" t="s">
        <v>72</v>
      </c>
      <c r="C115" s="171" t="s">
        <v>1396</v>
      </c>
      <c r="D115" s="171">
        <v>5.4</v>
      </c>
      <c r="E115" s="171">
        <v>10</v>
      </c>
      <c r="F115" s="170" t="s">
        <v>365</v>
      </c>
      <c r="G115" s="136">
        <v>0</v>
      </c>
      <c r="H115" s="135">
        <v>0</v>
      </c>
      <c r="I115" s="134">
        <v>45</v>
      </c>
      <c r="J115" s="157">
        <f>LOG(G115+([4]Values!$D$8*H115)+([4]Values!$D$9*I115)+(K115*[4]Values!$D$10)+(L115*[4]Values!$D$11)+1)</f>
        <v>0.40529645403745862</v>
      </c>
      <c r="K115" s="169">
        <v>51</v>
      </c>
      <c r="L115" s="168">
        <v>7</v>
      </c>
      <c r="M115" s="167" t="s">
        <v>23</v>
      </c>
    </row>
    <row r="116" spans="1:13" ht="12.3">
      <c r="A116" s="172">
        <v>42874</v>
      </c>
      <c r="B116" s="170" t="s">
        <v>17</v>
      </c>
      <c r="C116" s="171" t="s">
        <v>1395</v>
      </c>
      <c r="D116" s="171">
        <v>4.0999999999999996</v>
      </c>
      <c r="E116" s="171">
        <v>10</v>
      </c>
      <c r="F116" s="170"/>
      <c r="G116" s="136">
        <v>0</v>
      </c>
      <c r="H116" s="135">
        <v>2</v>
      </c>
      <c r="I116" s="134">
        <v>250</v>
      </c>
      <c r="J116" s="157">
        <f>LOG(G116+([4]Values!$D$8*H116)+([4]Values!$D$9*I116)+(K116*[4]Values!$D$10)+(L116*[4]Values!$D$11)+1)</f>
        <v>0.94125712160413366</v>
      </c>
      <c r="K116" s="169"/>
      <c r="L116" s="168">
        <v>80</v>
      </c>
      <c r="M116" s="167" t="s">
        <v>23</v>
      </c>
    </row>
    <row r="117" spans="1:13" ht="12.3">
      <c r="A117" s="172">
        <v>42877</v>
      </c>
      <c r="B117" s="170" t="s">
        <v>72</v>
      </c>
      <c r="C117" s="171" t="s">
        <v>115</v>
      </c>
      <c r="D117" s="171">
        <v>4.2</v>
      </c>
      <c r="E117" s="171"/>
      <c r="F117" s="170"/>
      <c r="G117" s="136">
        <v>0</v>
      </c>
      <c r="H117" s="135">
        <v>0</v>
      </c>
      <c r="I117" s="134">
        <v>0</v>
      </c>
      <c r="J117" s="157">
        <f>LOG(G117+([4]Values!$D$8*H117)+([4]Values!$D$9*I117)+(K117*[4]Values!$D$10)+(L117*[4]Values!$D$11)+1)</f>
        <v>0.4353550278346851</v>
      </c>
      <c r="K117" s="169">
        <v>185</v>
      </c>
      <c r="L117" s="168">
        <v>0</v>
      </c>
      <c r="M117" s="167" t="s">
        <v>23</v>
      </c>
    </row>
    <row r="118" spans="1:13" ht="12.3">
      <c r="A118" s="172">
        <v>42879</v>
      </c>
      <c r="B118" s="170" t="s">
        <v>44</v>
      </c>
      <c r="C118" s="171" t="s">
        <v>528</v>
      </c>
      <c r="D118" s="170">
        <v>5.7</v>
      </c>
      <c r="E118" s="171">
        <v>15</v>
      </c>
      <c r="F118" s="170" t="s">
        <v>35</v>
      </c>
      <c r="G118" s="136">
        <v>0</v>
      </c>
      <c r="H118" s="135">
        <v>0</v>
      </c>
      <c r="I118" s="134"/>
      <c r="J118" s="157">
        <f>LOG(G118+([4]Values!$D$8*H118)+([4]Values!$D$9*I118)+(K118*[4]Values!$D$10)+(L118*[4]Values!$D$11)+1)</f>
        <v>8.4379819887540994E-2</v>
      </c>
      <c r="K118" s="169">
        <v>23</v>
      </c>
      <c r="L118" s="168">
        <v>0</v>
      </c>
      <c r="M118" s="167" t="s">
        <v>23</v>
      </c>
    </row>
    <row r="119" spans="1:13" ht="12.3">
      <c r="A119" s="172">
        <v>42879</v>
      </c>
      <c r="B119" s="170" t="s">
        <v>292</v>
      </c>
      <c r="C119" s="171"/>
      <c r="D119" s="171">
        <v>4.4000000000000004</v>
      </c>
      <c r="E119" s="171"/>
      <c r="F119" s="170"/>
      <c r="G119" s="136">
        <v>0</v>
      </c>
      <c r="H119" s="135">
        <v>0</v>
      </c>
      <c r="I119" s="134">
        <v>0</v>
      </c>
      <c r="J119" s="157">
        <f>LOG(G119+([4]Values!$D$8*H119)+([4]Values!$D$9*I119)+(K119*[4]Values!$D$10)+(L119*[4]Values!$D$11)+1)</f>
        <v>4.9687409983096752E-2</v>
      </c>
      <c r="K119" s="169">
        <v>13</v>
      </c>
      <c r="L119" s="168">
        <v>0</v>
      </c>
      <c r="M119" s="167" t="s">
        <v>23</v>
      </c>
    </row>
    <row r="120" spans="1:13" ht="12.3">
      <c r="A120" s="172">
        <v>42879</v>
      </c>
      <c r="B120" s="170" t="s">
        <v>44</v>
      </c>
      <c r="C120" s="171" t="s">
        <v>1394</v>
      </c>
      <c r="D120" s="170">
        <v>5.5</v>
      </c>
      <c r="E120" s="171"/>
      <c r="F120" s="170"/>
      <c r="G120" s="136">
        <v>0</v>
      </c>
      <c r="H120" s="135">
        <v>0</v>
      </c>
      <c r="I120" s="134"/>
      <c r="J120" s="157">
        <f>LOG(G120+([4]Values!$D$8*H120)+([4]Values!$D$9*I120)+(K120*[4]Values!$D$10)+(L120*[4]Values!$D$11)+1)</f>
        <v>3.8715255314556482E-2</v>
      </c>
      <c r="K120" s="169">
        <v>10</v>
      </c>
      <c r="L120" s="168">
        <v>0</v>
      </c>
      <c r="M120" s="167" t="s">
        <v>23</v>
      </c>
    </row>
    <row r="121" spans="1:13" ht="12.3">
      <c r="A121" s="155">
        <v>42880</v>
      </c>
      <c r="B121" s="145" t="s">
        <v>262</v>
      </c>
      <c r="C121" s="145" t="s">
        <v>1393</v>
      </c>
      <c r="D121" s="145">
        <v>4.4000000000000004</v>
      </c>
      <c r="E121" s="145"/>
      <c r="F121" s="145"/>
      <c r="G121" s="136">
        <v>1</v>
      </c>
      <c r="H121" s="135">
        <v>19</v>
      </c>
      <c r="I121" s="144">
        <v>0</v>
      </c>
      <c r="J121" s="157">
        <f>LOG(G121+([4]Values!$D$8*H121)+([4]Values!$D$9*I121)+(K121*[4]Values!$D$10)+(L121*[4]Values!$D$11)+1)</f>
        <v>0.83672216654315201</v>
      </c>
      <c r="K121" s="142">
        <v>0</v>
      </c>
      <c r="L121" s="142">
        <v>0</v>
      </c>
      <c r="M121" s="141" t="s">
        <v>23</v>
      </c>
    </row>
    <row r="122" spans="1:13" ht="12.3">
      <c r="A122" s="153">
        <v>42882</v>
      </c>
      <c r="B122" s="150" t="s">
        <v>615</v>
      </c>
      <c r="C122" s="137" t="s">
        <v>616</v>
      </c>
      <c r="D122" s="137">
        <v>2.6</v>
      </c>
      <c r="E122" s="137">
        <v>3</v>
      </c>
      <c r="F122" s="150"/>
      <c r="G122" s="136">
        <v>0</v>
      </c>
      <c r="H122" s="135">
        <v>0</v>
      </c>
      <c r="I122" s="134">
        <v>0</v>
      </c>
      <c r="J122" s="157">
        <f>LOG(G122+([4]Values!$D$8*H122)+([4]Values!$D$9*I122)+(K122*[4]Values!$D$10)+(L122*[4]Values!$D$11)+1)</f>
        <v>0.1346976508553798</v>
      </c>
      <c r="K122" s="133">
        <v>39</v>
      </c>
      <c r="L122" s="160">
        <v>0</v>
      </c>
      <c r="M122" s="149" t="s">
        <v>23</v>
      </c>
    </row>
    <row r="123" spans="1:13" ht="12.3">
      <c r="A123" s="153">
        <v>42882</v>
      </c>
      <c r="B123" s="150" t="s">
        <v>105</v>
      </c>
      <c r="C123" s="137" t="s">
        <v>106</v>
      </c>
      <c r="D123" s="137">
        <v>5.2</v>
      </c>
      <c r="E123" s="137">
        <v>8</v>
      </c>
      <c r="F123" s="150"/>
      <c r="G123" s="136">
        <v>0</v>
      </c>
      <c r="H123" s="135">
        <v>1</v>
      </c>
      <c r="I123" s="134">
        <v>500</v>
      </c>
      <c r="J123" s="157">
        <f>LOG(G123+([4]Values!$D$8*H123)+([4]Values!$D$9*I123)+(K123*[4]Values!$D$10)+(L123*[4]Values!$D$11)+1)</f>
        <v>1.3308094021313528</v>
      </c>
      <c r="K123" s="133">
        <v>404</v>
      </c>
      <c r="L123" s="160">
        <v>222</v>
      </c>
      <c r="M123" s="149" t="s">
        <v>23</v>
      </c>
    </row>
    <row r="124" spans="1:13" ht="12.3">
      <c r="A124" s="153">
        <v>42883</v>
      </c>
      <c r="B124" s="150" t="s">
        <v>44</v>
      </c>
      <c r="C124" s="137" t="s">
        <v>1119</v>
      </c>
      <c r="D124" s="138">
        <v>5</v>
      </c>
      <c r="E124" s="137"/>
      <c r="F124" s="150"/>
      <c r="G124" s="136">
        <v>0</v>
      </c>
      <c r="H124" s="135">
        <v>0</v>
      </c>
      <c r="I124" s="134">
        <v>1</v>
      </c>
      <c r="J124" s="157">
        <f>LOG(G124+([4]Values!$D$8*H124)+([4]Values!$D$9*I124)+(K124*[4]Values!$D$10)+(L124*[4]Values!$D$11)+1)</f>
        <v>0.12385464152994947</v>
      </c>
      <c r="K124" s="133">
        <v>30</v>
      </c>
      <c r="L124" s="160">
        <v>1</v>
      </c>
      <c r="M124" s="149" t="s">
        <v>23</v>
      </c>
    </row>
    <row r="125" spans="1:13" ht="12.3">
      <c r="A125" s="153">
        <v>42884</v>
      </c>
      <c r="B125" s="150" t="s">
        <v>67</v>
      </c>
      <c r="C125" s="137" t="s">
        <v>68</v>
      </c>
      <c r="D125" s="137">
        <v>3.3</v>
      </c>
      <c r="E125" s="137">
        <v>0.6</v>
      </c>
      <c r="F125" s="150"/>
      <c r="G125" s="136">
        <v>0</v>
      </c>
      <c r="H125" s="135">
        <v>4</v>
      </c>
      <c r="I125" s="134">
        <v>0</v>
      </c>
      <c r="J125" s="157">
        <f>LOG(G125+([4]Values!$D$8*H125)+([4]Values!$D$9*I125)+(K125*[4]Values!$D$10)+(L125*[4]Values!$D$11)+1)</f>
        <v>0.30631395981102655</v>
      </c>
      <c r="K125" s="133"/>
      <c r="L125" s="160"/>
      <c r="M125" s="149" t="s">
        <v>23</v>
      </c>
    </row>
    <row r="126" spans="1:13" ht="12.3">
      <c r="A126" s="153">
        <v>42884</v>
      </c>
      <c r="B126" s="150" t="s">
        <v>44</v>
      </c>
      <c r="C126" s="137" t="s">
        <v>1392</v>
      </c>
      <c r="D126" s="150">
        <v>6.6</v>
      </c>
      <c r="E126" s="137">
        <v>11</v>
      </c>
      <c r="F126" s="150" t="s">
        <v>123</v>
      </c>
      <c r="G126" s="136">
        <v>0</v>
      </c>
      <c r="H126" s="135">
        <v>25</v>
      </c>
      <c r="I126" s="134">
        <v>900</v>
      </c>
      <c r="J126" s="157">
        <f>LOG(G126+([4]Values!$D$8*H126)+([4]Values!$D$9*I126)+(K126*[4]Values!$D$10)+(L126*[4]Values!$D$11)+1)</f>
        <v>1.4956312433014358</v>
      </c>
      <c r="K126" s="133">
        <v>180</v>
      </c>
      <c r="L126" s="160">
        <v>168</v>
      </c>
      <c r="M126" s="149" t="s">
        <v>23</v>
      </c>
    </row>
    <row r="127" spans="1:13" ht="12.3">
      <c r="A127" s="153">
        <v>42884</v>
      </c>
      <c r="B127" s="150" t="s">
        <v>83</v>
      </c>
      <c r="C127" s="137" t="s">
        <v>1069</v>
      </c>
      <c r="D127" s="137">
        <v>3.5</v>
      </c>
      <c r="E127" s="137">
        <v>8</v>
      </c>
      <c r="F127" s="150"/>
      <c r="G127" s="136">
        <v>0</v>
      </c>
      <c r="H127" s="135">
        <v>0</v>
      </c>
      <c r="I127" s="134">
        <v>0</v>
      </c>
      <c r="J127" s="157">
        <f>LOG(G127+([4]Values!$D$8*H127)+([4]Values!$D$9*I127)+(K127*[4]Values!$D$10)+(L127*[4]Values!$D$11)+1)</f>
        <v>9.0997725520269523E-2</v>
      </c>
      <c r="K127" s="133">
        <v>25</v>
      </c>
      <c r="L127" s="160">
        <v>0</v>
      </c>
      <c r="M127" s="149" t="s">
        <v>23</v>
      </c>
    </row>
    <row r="128" spans="1:13" ht="12.3">
      <c r="A128" s="153">
        <v>42887</v>
      </c>
      <c r="B128" s="150" t="s">
        <v>403</v>
      </c>
      <c r="C128" s="137" t="s">
        <v>1391</v>
      </c>
      <c r="D128" s="137"/>
      <c r="E128" s="137"/>
      <c r="F128" s="150"/>
      <c r="G128" s="136">
        <v>0</v>
      </c>
      <c r="H128" s="135">
        <v>0</v>
      </c>
      <c r="I128" s="134">
        <v>0</v>
      </c>
      <c r="J128" s="157">
        <f>LOG(G128+([4]Values!$D$8*H128)+([4]Values!$D$9*I128)+(K128*[4]Values!$D$10)+(L128*[4]Values!$D$11)+1)</f>
        <v>4.030572192620571E-3</v>
      </c>
      <c r="K128" s="133">
        <v>1</v>
      </c>
      <c r="L128" s="160">
        <v>0</v>
      </c>
      <c r="M128" s="149" t="s">
        <v>23</v>
      </c>
    </row>
    <row r="129" spans="1:13" ht="12.3">
      <c r="A129" s="153">
        <v>42887</v>
      </c>
      <c r="B129" s="150" t="s">
        <v>24</v>
      </c>
      <c r="C129" s="137" t="s">
        <v>1390</v>
      </c>
      <c r="D129" s="137">
        <v>4.7</v>
      </c>
      <c r="E129" s="137"/>
      <c r="F129" s="150"/>
      <c r="G129" s="136">
        <v>0</v>
      </c>
      <c r="H129" s="135">
        <v>0</v>
      </c>
      <c r="I129" s="134">
        <v>0</v>
      </c>
      <c r="J129" s="157">
        <f>LOG(G129+([4]Values!$D$8*H129)+([4]Values!$D$9*I129)+(K129*[4]Values!$D$10)+(L129*[4]Values!$D$11)+1)</f>
        <v>9.0997725520269523E-2</v>
      </c>
      <c r="K129" s="133">
        <v>25</v>
      </c>
      <c r="L129" s="160"/>
      <c r="M129" s="149" t="s">
        <v>23</v>
      </c>
    </row>
    <row r="130" spans="1:13" ht="12.3">
      <c r="A130" s="153">
        <v>42890</v>
      </c>
      <c r="B130" s="150" t="s">
        <v>83</v>
      </c>
      <c r="C130" s="137" t="s">
        <v>1389</v>
      </c>
      <c r="D130" s="138">
        <v>5</v>
      </c>
      <c r="E130" s="137">
        <v>15</v>
      </c>
      <c r="F130" s="150"/>
      <c r="G130" s="136">
        <v>0</v>
      </c>
      <c r="H130" s="135">
        <v>0</v>
      </c>
      <c r="I130" s="134">
        <v>510</v>
      </c>
      <c r="J130" s="157">
        <f>LOG(G130+([4]Values!$D$8*H130)+([4]Values!$D$9*I130)+(K130*[4]Values!$D$10)+(L130*[4]Values!$D$11)+1)</f>
        <v>1.1634320326068543</v>
      </c>
      <c r="K130" s="133">
        <v>220</v>
      </c>
      <c r="L130" s="160">
        <v>61</v>
      </c>
      <c r="M130" s="149" t="s">
        <v>23</v>
      </c>
    </row>
    <row r="131" spans="1:13" ht="12.3">
      <c r="A131" s="153">
        <v>42891</v>
      </c>
      <c r="B131" s="150" t="s">
        <v>72</v>
      </c>
      <c r="C131" s="137" t="s">
        <v>1388</v>
      </c>
      <c r="D131" s="152">
        <v>6.2</v>
      </c>
      <c r="E131" s="137">
        <v>18</v>
      </c>
      <c r="F131" s="150" t="s">
        <v>134</v>
      </c>
      <c r="G131" s="136">
        <v>0</v>
      </c>
      <c r="H131" s="135">
        <v>3</v>
      </c>
      <c r="I131" s="134">
        <v>7</v>
      </c>
      <c r="J131" s="157">
        <f>LOG(G131+([4]Values!$D$8*H131)+([4]Values!$D$9*I131)+(K131*[4]Values!$D$10)+(L131*[4]Values!$D$11)+1)</f>
        <v>0.33562724505037994</v>
      </c>
      <c r="K131" s="133">
        <v>15</v>
      </c>
      <c r="L131" s="160">
        <v>4</v>
      </c>
      <c r="M131" s="149" t="s">
        <v>23</v>
      </c>
    </row>
    <row r="132" spans="1:13" ht="12.3">
      <c r="A132" s="153">
        <v>42892</v>
      </c>
      <c r="B132" s="150" t="s">
        <v>17</v>
      </c>
      <c r="C132" s="137" t="s">
        <v>1387</v>
      </c>
      <c r="D132" s="138">
        <v>4.7</v>
      </c>
      <c r="E132" s="137"/>
      <c r="F132" s="150"/>
      <c r="G132" s="136">
        <v>0</v>
      </c>
      <c r="H132" s="135">
        <v>0</v>
      </c>
      <c r="I132" s="134"/>
      <c r="J132" s="157">
        <f>LOG(G132+([4]Values!$D$8*H132)+([4]Values!$D$9*I132)+(K132*[4]Values!$D$10)+(L132*[4]Values!$D$11)+1)</f>
        <v>7.4259946119613868E-2</v>
      </c>
      <c r="K132" s="133">
        <v>20</v>
      </c>
      <c r="L132" s="160">
        <v>0</v>
      </c>
      <c r="M132" s="149" t="s">
        <v>23</v>
      </c>
    </row>
    <row r="133" spans="1:13" ht="12.3">
      <c r="A133" s="153">
        <v>42895</v>
      </c>
      <c r="B133" s="150" t="s">
        <v>24</v>
      </c>
      <c r="C133" s="137" t="s">
        <v>802</v>
      </c>
      <c r="D133" s="152">
        <v>3.2</v>
      </c>
      <c r="E133" s="137"/>
      <c r="F133" s="150"/>
      <c r="G133" s="136">
        <v>0</v>
      </c>
      <c r="H133" s="135">
        <v>0</v>
      </c>
      <c r="I133" s="134"/>
      <c r="J133" s="157">
        <f>LOG(G133+([4]Values!$D$8*H133)+([4]Values!$D$9*I133)+(K133*[4]Values!$D$10)+(L133*[4]Values!$D$11)+1)</f>
        <v>5.6851142226527845E-2</v>
      </c>
      <c r="K133" s="133">
        <v>15</v>
      </c>
      <c r="L133" s="160">
        <v>0</v>
      </c>
      <c r="M133" s="149" t="s">
        <v>23</v>
      </c>
    </row>
    <row r="134" spans="1:13" ht="12.3">
      <c r="A134" s="155">
        <v>42898</v>
      </c>
      <c r="B134" s="145" t="s">
        <v>156</v>
      </c>
      <c r="C134" s="145" t="s">
        <v>1386</v>
      </c>
      <c r="D134" s="146">
        <v>6.3</v>
      </c>
      <c r="E134" s="145">
        <v>11</v>
      </c>
      <c r="F134" s="145" t="s">
        <v>363</v>
      </c>
      <c r="G134" s="136">
        <v>1</v>
      </c>
      <c r="H134" s="135">
        <v>15</v>
      </c>
      <c r="I134" s="144">
        <v>1000</v>
      </c>
      <c r="J134" s="157">
        <f>LOG(G134+([4]Values!$D$8*H134)+([4]Values!$D$9*I134)+(K134*[4]Values!$D$10)+(L134*[4]Values!$D$11)+1)</f>
        <v>1.5747380760495329</v>
      </c>
      <c r="K134" s="142">
        <v>246</v>
      </c>
      <c r="L134" s="142">
        <v>337</v>
      </c>
      <c r="M134" s="141" t="s">
        <v>1094</v>
      </c>
    </row>
    <row r="135" spans="1:13" ht="12.3">
      <c r="A135" s="155">
        <v>42900</v>
      </c>
      <c r="B135" s="145" t="s">
        <v>403</v>
      </c>
      <c r="C135" s="145" t="s">
        <v>1385</v>
      </c>
      <c r="D135" s="146">
        <v>6.9</v>
      </c>
      <c r="E135" s="145">
        <v>112</v>
      </c>
      <c r="F135" s="145" t="s">
        <v>365</v>
      </c>
      <c r="G135" s="136">
        <v>5</v>
      </c>
      <c r="H135" s="135">
        <v>66</v>
      </c>
      <c r="I135" s="144">
        <v>801</v>
      </c>
      <c r="J135" s="157">
        <f>LOG(G135+([4]Values!$D$8*H135)+([4]Values!$D$9*I135)+(K135*[4]Values!$D$10)+(L135*[4]Values!$D$11)+1)</f>
        <v>1.9817574344448212</v>
      </c>
      <c r="K135" s="142">
        <v>4442</v>
      </c>
      <c r="L135" s="142">
        <v>524</v>
      </c>
      <c r="M135" s="141"/>
    </row>
    <row r="136" spans="1:13" ht="12.3">
      <c r="A136" s="153">
        <v>42902</v>
      </c>
      <c r="B136" s="150" t="s">
        <v>83</v>
      </c>
      <c r="C136" s="137" t="s">
        <v>1069</v>
      </c>
      <c r="D136" s="138">
        <v>4.3</v>
      </c>
      <c r="E136" s="137">
        <v>8</v>
      </c>
      <c r="F136" s="150"/>
      <c r="G136" s="136">
        <v>0</v>
      </c>
      <c r="H136" s="135">
        <v>0</v>
      </c>
      <c r="I136" s="134">
        <v>163</v>
      </c>
      <c r="J136" s="157">
        <f>LOG(G136+([4]Values!$D$8*H136)+([4]Values!$D$9*I136)+(K136*[4]Values!$D$10)+(L136*[4]Values!$D$11)+1)</f>
        <v>0.76216952141956462</v>
      </c>
      <c r="K136" s="133">
        <v>184</v>
      </c>
      <c r="L136" s="160">
        <v>0</v>
      </c>
      <c r="M136" s="149" t="s">
        <v>23</v>
      </c>
    </row>
    <row r="137" spans="1:13" ht="12.3">
      <c r="A137" s="153">
        <v>42906</v>
      </c>
      <c r="B137" s="150" t="s">
        <v>39</v>
      </c>
      <c r="C137" s="137" t="s">
        <v>1280</v>
      </c>
      <c r="D137" s="138">
        <v>3.2</v>
      </c>
      <c r="E137" s="137">
        <v>13</v>
      </c>
      <c r="F137" s="150"/>
      <c r="G137" s="136">
        <v>0</v>
      </c>
      <c r="H137" s="135">
        <v>0</v>
      </c>
      <c r="I137" s="134">
        <v>0</v>
      </c>
      <c r="J137" s="157">
        <f>LOG(G137+([4]Values!$D$8*H137)+([4]Values!$D$9*I137)+(K137*[4]Values!$D$10)+(L137*[4]Values!$D$11)+1)</f>
        <v>4.030572192620571E-3</v>
      </c>
      <c r="K137" s="133">
        <v>1</v>
      </c>
      <c r="L137" s="160">
        <v>0</v>
      </c>
      <c r="M137" s="149" t="s">
        <v>23</v>
      </c>
    </row>
    <row r="138" spans="1:13" ht="12.3">
      <c r="A138" s="155">
        <v>42907</v>
      </c>
      <c r="B138" s="145" t="s">
        <v>1001</v>
      </c>
      <c r="C138" s="145" t="s">
        <v>1384</v>
      </c>
      <c r="D138" s="146">
        <v>3.2</v>
      </c>
      <c r="E138" s="145"/>
      <c r="F138" s="145"/>
      <c r="G138" s="136">
        <v>1</v>
      </c>
      <c r="H138" s="135">
        <v>1</v>
      </c>
      <c r="I138" s="144">
        <v>0</v>
      </c>
      <c r="J138" s="157">
        <f>LOG(G138+([4]Values!$D$8*H138)+([4]Values!$D$9*I138)+(K138*[4]Values!$D$10)+(L138*[4]Values!$D$11)+1)</f>
        <v>0.35336230070490721</v>
      </c>
      <c r="K138" s="142">
        <v>0</v>
      </c>
      <c r="L138" s="142">
        <v>0</v>
      </c>
      <c r="M138" s="141" t="s">
        <v>23</v>
      </c>
    </row>
    <row r="139" spans="1:13" ht="12.3">
      <c r="A139" s="153">
        <v>42908</v>
      </c>
      <c r="B139" s="150" t="s">
        <v>403</v>
      </c>
      <c r="C139" s="137" t="s">
        <v>1383</v>
      </c>
      <c r="D139" s="152">
        <v>6.8</v>
      </c>
      <c r="E139" s="137">
        <v>46</v>
      </c>
      <c r="F139" s="150" t="s">
        <v>35</v>
      </c>
      <c r="G139" s="136">
        <v>0</v>
      </c>
      <c r="H139" s="135">
        <v>4</v>
      </c>
      <c r="I139" s="134">
        <v>42</v>
      </c>
      <c r="J139" s="157">
        <f>LOG(G139+([4]Values!$D$8*H139)+([4]Values!$D$9*I139)+(K139*[4]Values!$D$10)+(L139*[4]Values!$D$11)+1)</f>
        <v>0.59391251920366506</v>
      </c>
      <c r="K139" s="133">
        <v>82</v>
      </c>
      <c r="L139" s="160">
        <v>11</v>
      </c>
      <c r="M139" s="132" t="s">
        <v>23</v>
      </c>
    </row>
    <row r="140" spans="1:13" ht="12.3">
      <c r="A140" s="153">
        <v>42910</v>
      </c>
      <c r="B140" s="150" t="s">
        <v>1142</v>
      </c>
      <c r="C140" s="137" t="s">
        <v>1382</v>
      </c>
      <c r="D140" s="152">
        <v>5.8</v>
      </c>
      <c r="E140" s="137"/>
      <c r="F140" s="150"/>
      <c r="G140" s="136">
        <v>0</v>
      </c>
      <c r="H140" s="135">
        <v>4</v>
      </c>
      <c r="I140" s="134"/>
      <c r="J140" s="157">
        <f>LOG(G140+([4]Values!$D$8*H140)+([4]Values!$D$9*I140)+(K140*[4]Values!$D$10)+(L140*[4]Values!$D$11)+1)</f>
        <v>0.31961088799979886</v>
      </c>
      <c r="K140" s="133"/>
      <c r="L140" s="160">
        <v>2</v>
      </c>
      <c r="M140" s="132" t="s">
        <v>23</v>
      </c>
    </row>
    <row r="141" spans="1:13" ht="12.3">
      <c r="A141" s="153">
        <v>42910</v>
      </c>
      <c r="B141" s="150" t="s">
        <v>72</v>
      </c>
      <c r="C141" s="137" t="s">
        <v>223</v>
      </c>
      <c r="D141" s="152">
        <v>6</v>
      </c>
      <c r="E141" s="137">
        <v>100</v>
      </c>
      <c r="F141" s="150" t="s">
        <v>1364</v>
      </c>
      <c r="G141" s="136">
        <v>0</v>
      </c>
      <c r="H141" s="135">
        <v>0</v>
      </c>
      <c r="I141" s="134">
        <v>0</v>
      </c>
      <c r="J141" s="157">
        <f>LOG(G141+([4]Values!$D$8*H141)+([4]Values!$D$9*I141)+(K141*[4]Values!$D$10)+(L141*[4]Values!$D$11)+1)</f>
        <v>3.8715255314556482E-2</v>
      </c>
      <c r="K141" s="133">
        <v>10</v>
      </c>
      <c r="L141" s="160"/>
      <c r="M141" s="132" t="s">
        <v>23</v>
      </c>
    </row>
    <row r="142" spans="1:13" ht="12.3">
      <c r="A142" s="153">
        <v>42910</v>
      </c>
      <c r="B142" s="150" t="s">
        <v>258</v>
      </c>
      <c r="C142" s="137" t="s">
        <v>1183</v>
      </c>
      <c r="D142" s="152">
        <v>5.6</v>
      </c>
      <c r="E142" s="137">
        <v>7</v>
      </c>
      <c r="F142" s="150" t="s">
        <v>1375</v>
      </c>
      <c r="G142" s="136">
        <v>0</v>
      </c>
      <c r="H142" s="135">
        <v>2</v>
      </c>
      <c r="I142" s="134">
        <v>0</v>
      </c>
      <c r="J142" s="157">
        <f>LOG(G142+([4]Values!$D$8*H142)+([4]Values!$D$9*I142)+(K142*[4]Values!$D$10)+(L142*[4]Values!$D$11)+1)</f>
        <v>0.23486328129263673</v>
      </c>
      <c r="K142" s="133">
        <v>22</v>
      </c>
      <c r="L142" s="160">
        <v>0</v>
      </c>
      <c r="M142" s="132" t="s">
        <v>23</v>
      </c>
    </row>
    <row r="143" spans="1:13" ht="12.3">
      <c r="A143" s="153">
        <v>42912</v>
      </c>
      <c r="B143" s="150" t="s">
        <v>17</v>
      </c>
      <c r="C143" s="137" t="s">
        <v>179</v>
      </c>
      <c r="D143" s="138">
        <v>4.3</v>
      </c>
      <c r="E143" s="137">
        <v>8</v>
      </c>
      <c r="F143" s="150"/>
      <c r="G143" s="136">
        <v>0</v>
      </c>
      <c r="H143" s="135">
        <v>2</v>
      </c>
      <c r="I143" s="134">
        <v>0</v>
      </c>
      <c r="J143" s="157">
        <f>LOG(G143+([4]Values!$D$8*H143)+([4]Values!$D$9*I143)+(K143*[4]Values!$D$10)+(L143*[4]Values!$D$11)+1)</f>
        <v>0.2056050197550508</v>
      </c>
      <c r="K143" s="133">
        <v>10</v>
      </c>
      <c r="L143" s="160">
        <v>0</v>
      </c>
      <c r="M143" s="132" t="s">
        <v>23</v>
      </c>
    </row>
    <row r="144" spans="1:13" ht="12.3">
      <c r="A144" s="153">
        <v>42916</v>
      </c>
      <c r="B144" s="150" t="s">
        <v>33</v>
      </c>
      <c r="C144" s="137" t="s">
        <v>1381</v>
      </c>
      <c r="D144" s="138">
        <v>3.9</v>
      </c>
      <c r="E144" s="137">
        <v>2</v>
      </c>
      <c r="F144" s="150"/>
      <c r="G144" s="136">
        <v>0</v>
      </c>
      <c r="H144" s="135">
        <v>0</v>
      </c>
      <c r="I144" s="134">
        <v>0</v>
      </c>
      <c r="J144" s="157">
        <f>LOG(G144+([4]Values!$D$8*H144)+([4]Values!$D$9*I144)+(K144*[4]Values!$D$10)+(L144*[4]Values!$D$11)+1)</f>
        <v>7.4259946119613868E-2</v>
      </c>
      <c r="K144" s="133">
        <v>20</v>
      </c>
      <c r="L144" s="160">
        <v>0</v>
      </c>
      <c r="M144" s="132" t="s">
        <v>23</v>
      </c>
    </row>
    <row r="145" spans="1:13" ht="12.3">
      <c r="A145" s="153">
        <v>42916</v>
      </c>
      <c r="B145" s="150" t="s">
        <v>29</v>
      </c>
      <c r="C145" s="137" t="s">
        <v>1310</v>
      </c>
      <c r="D145" s="152">
        <v>6.3</v>
      </c>
      <c r="E145" s="137">
        <v>9</v>
      </c>
      <c r="F145" s="150" t="s">
        <v>123</v>
      </c>
      <c r="G145" s="136">
        <v>0</v>
      </c>
      <c r="H145" s="135">
        <v>5</v>
      </c>
      <c r="I145" s="134">
        <v>240</v>
      </c>
      <c r="J145" s="157">
        <f>LOG(G145+([4]Values!$D$8*H145)+([4]Values!$D$9*I145)+(K145*[4]Values!$D$10)+(L145*[4]Values!$D$11)+1)</f>
        <v>0.87990085988199418</v>
      </c>
      <c r="K145" s="133">
        <v>81</v>
      </c>
      <c r="L145" s="160">
        <v>1</v>
      </c>
      <c r="M145" s="132" t="s">
        <v>23</v>
      </c>
    </row>
    <row r="146" spans="1:13" ht="12.3">
      <c r="A146" s="153">
        <v>42917</v>
      </c>
      <c r="B146" s="150" t="s">
        <v>258</v>
      </c>
      <c r="C146" s="137" t="s">
        <v>453</v>
      </c>
      <c r="D146" s="138">
        <v>5.3</v>
      </c>
      <c r="E146" s="137">
        <v>23</v>
      </c>
      <c r="F146" s="150" t="s">
        <v>1380</v>
      </c>
      <c r="G146" s="136">
        <v>0</v>
      </c>
      <c r="H146" s="135">
        <v>1</v>
      </c>
      <c r="I146" s="134">
        <v>0</v>
      </c>
      <c r="J146" s="157">
        <f>LOG(G146+([4]Values!$D$8*H146)+([4]Values!$D$9*I146)+(K146*[4]Values!$D$10)+(L146*[4]Values!$D$11)+1)</f>
        <v>9.9031319540078808E-2</v>
      </c>
      <c r="K146" s="133">
        <v>0</v>
      </c>
      <c r="L146" s="160">
        <v>0</v>
      </c>
      <c r="M146" s="132" t="s">
        <v>23</v>
      </c>
    </row>
    <row r="147" spans="1:13" ht="12.3">
      <c r="A147" s="153">
        <v>42917</v>
      </c>
      <c r="B147" s="150" t="s">
        <v>258</v>
      </c>
      <c r="C147" s="137" t="s">
        <v>288</v>
      </c>
      <c r="D147" s="138">
        <v>4.5</v>
      </c>
      <c r="E147" s="137">
        <v>8</v>
      </c>
      <c r="F147" s="150" t="s">
        <v>1380</v>
      </c>
      <c r="G147" s="136">
        <v>0</v>
      </c>
      <c r="H147" s="135">
        <v>0</v>
      </c>
      <c r="I147" s="134">
        <v>0</v>
      </c>
      <c r="J147" s="157">
        <f>LOG(G147+([4]Values!$D$8*H147)+([4]Values!$D$9*I147)+(K147*[4]Values!$D$10)+(L147*[4]Values!$D$11)+1)</f>
        <v>4.030572192620571E-3</v>
      </c>
      <c r="K147" s="133">
        <v>1</v>
      </c>
      <c r="L147" s="160">
        <v>0</v>
      </c>
      <c r="M147" s="132" t="s">
        <v>23</v>
      </c>
    </row>
    <row r="148" spans="1:13" ht="12.3">
      <c r="A148" s="153">
        <v>42918</v>
      </c>
      <c r="B148" s="150" t="s">
        <v>33</v>
      </c>
      <c r="C148" s="137" t="s">
        <v>1379</v>
      </c>
      <c r="D148" s="138">
        <v>4.5999999999999996</v>
      </c>
      <c r="E148" s="137"/>
      <c r="F148" s="150"/>
      <c r="G148" s="136">
        <v>0</v>
      </c>
      <c r="H148" s="135">
        <v>0</v>
      </c>
      <c r="I148" s="134">
        <v>0</v>
      </c>
      <c r="J148" s="157">
        <f>LOG(G148+([4]Values!$D$8*H148)+([4]Values!$D$9*I148)+(K148*[4]Values!$D$10)+(L148*[4]Values!$D$11)+1)</f>
        <v>5.6851142226527845E-2</v>
      </c>
      <c r="K148" s="133">
        <v>15</v>
      </c>
      <c r="L148" s="160">
        <v>0</v>
      </c>
      <c r="M148" s="132" t="s">
        <v>23</v>
      </c>
    </row>
    <row r="149" spans="1:13" ht="12.3">
      <c r="A149" s="153">
        <v>42918</v>
      </c>
      <c r="B149" s="150" t="s">
        <v>83</v>
      </c>
      <c r="C149" s="137" t="s">
        <v>323</v>
      </c>
      <c r="D149" s="138">
        <v>4.0999999999999996</v>
      </c>
      <c r="E149" s="137">
        <v>5</v>
      </c>
      <c r="F149" s="150"/>
      <c r="G149" s="136">
        <v>0</v>
      </c>
      <c r="H149" s="135">
        <v>1</v>
      </c>
      <c r="I149" s="134">
        <v>3</v>
      </c>
      <c r="J149" s="157">
        <f>LOG(G149+([4]Values!$D$8*H149)+([4]Values!$D$9*I149)+(K149*[4]Values!$D$10)+(L149*[4]Values!$D$11)+1)</f>
        <v>0.21301094359813991</v>
      </c>
      <c r="K149" s="133">
        <v>31</v>
      </c>
      <c r="L149" s="160">
        <v>1</v>
      </c>
      <c r="M149" s="132" t="s">
        <v>23</v>
      </c>
    </row>
    <row r="150" spans="1:13" ht="12.3">
      <c r="A150" s="153">
        <v>42918</v>
      </c>
      <c r="B150" s="150" t="s">
        <v>1082</v>
      </c>
      <c r="C150" s="137" t="s">
        <v>1378</v>
      </c>
      <c r="D150" s="138">
        <v>4</v>
      </c>
      <c r="E150" s="137">
        <v>3</v>
      </c>
      <c r="F150" s="150" t="s">
        <v>1364</v>
      </c>
      <c r="G150" s="136">
        <v>0</v>
      </c>
      <c r="H150" s="135">
        <v>0</v>
      </c>
      <c r="I150" s="134">
        <v>0</v>
      </c>
      <c r="J150" s="157">
        <f>LOG(G150+([4]Values!$D$8*H150)+([4]Values!$D$9*I150)+(K150*[4]Values!$D$10)+(L150*[4]Values!$D$11)+1)</f>
        <v>8.0240814190273343E-3</v>
      </c>
      <c r="K150" s="133">
        <v>2</v>
      </c>
      <c r="L150" s="160">
        <v>0</v>
      </c>
      <c r="M150" s="132" t="s">
        <v>23</v>
      </c>
    </row>
    <row r="151" spans="1:13" ht="12.3">
      <c r="A151" s="153">
        <v>42919</v>
      </c>
      <c r="B151" s="150" t="s">
        <v>1082</v>
      </c>
      <c r="C151" s="137" t="s">
        <v>1378</v>
      </c>
      <c r="D151" s="138">
        <v>5</v>
      </c>
      <c r="E151" s="137">
        <v>5</v>
      </c>
      <c r="F151" s="150" t="s">
        <v>123</v>
      </c>
      <c r="G151" s="136">
        <v>0</v>
      </c>
      <c r="H151" s="135">
        <v>0</v>
      </c>
      <c r="I151" s="134">
        <v>0</v>
      </c>
      <c r="J151" s="157">
        <f>LOG(G151+([4]Values!$D$8*H151)+([4]Values!$D$9*I151)+(K151*[4]Values!$D$10)+(L151*[4]Values!$D$11)+1)</f>
        <v>0.46653100084091298</v>
      </c>
      <c r="K151" s="133">
        <v>200</v>
      </c>
      <c r="L151" s="160">
        <v>2</v>
      </c>
      <c r="M151" s="132" t="s">
        <v>23</v>
      </c>
    </row>
    <row r="152" spans="1:13" ht="12.3">
      <c r="A152" s="153">
        <v>42922</v>
      </c>
      <c r="B152" s="150" t="s">
        <v>39</v>
      </c>
      <c r="C152" s="137" t="s">
        <v>1377</v>
      </c>
      <c r="D152" s="152">
        <v>5.8</v>
      </c>
      <c r="E152" s="137">
        <v>4</v>
      </c>
      <c r="F152" s="150" t="s">
        <v>123</v>
      </c>
      <c r="G152" s="136">
        <v>0</v>
      </c>
      <c r="H152" s="135">
        <v>0</v>
      </c>
      <c r="I152" s="134">
        <v>0</v>
      </c>
      <c r="J152" s="157">
        <f>LOG(G152+([4]Values!$D$8*H152)+([4]Values!$D$9*I152)+(K152*[4]Values!$D$10)+(L152*[4]Values!$D$11)+1)</f>
        <v>1.9788894635760546E-2</v>
      </c>
      <c r="K152" s="133">
        <v>5</v>
      </c>
      <c r="L152" s="160">
        <v>0</v>
      </c>
      <c r="M152" s="132" t="s">
        <v>23</v>
      </c>
    </row>
    <row r="153" spans="1:13" ht="12.3">
      <c r="A153" s="155">
        <v>42922</v>
      </c>
      <c r="B153" s="145" t="s">
        <v>62</v>
      </c>
      <c r="C153" s="145" t="s">
        <v>1357</v>
      </c>
      <c r="D153" s="146">
        <v>6.5</v>
      </c>
      <c r="E153" s="145">
        <v>7</v>
      </c>
      <c r="F153" s="145" t="s">
        <v>123</v>
      </c>
      <c r="G153" s="136">
        <v>3</v>
      </c>
      <c r="H153" s="135">
        <v>493</v>
      </c>
      <c r="I153" s="144">
        <v>16052</v>
      </c>
      <c r="J153" s="157">
        <f>LOG(G153+([4]Values!$D$8*H153)+([4]Values!$D$9*I153)+(K153*[4]Values!$D$10)+(L153*[4]Values!$D$11)+1)</f>
        <v>2.6982381702857383</v>
      </c>
      <c r="K153" s="142">
        <v>2155</v>
      </c>
      <c r="L153" s="142">
        <v>1484</v>
      </c>
      <c r="M153" s="141" t="s">
        <v>23</v>
      </c>
    </row>
    <row r="154" spans="1:13" ht="12.3">
      <c r="A154" s="153">
        <v>42926</v>
      </c>
      <c r="B154" s="150" t="s">
        <v>17</v>
      </c>
      <c r="C154" s="137" t="s">
        <v>248</v>
      </c>
      <c r="D154" s="138">
        <v>4.5999999999999996</v>
      </c>
      <c r="E154" s="137"/>
      <c r="F154" s="150"/>
      <c r="G154" s="136">
        <v>0</v>
      </c>
      <c r="H154" s="135">
        <v>0</v>
      </c>
      <c r="I154" s="134">
        <v>0</v>
      </c>
      <c r="J154" s="157">
        <f>LOG(G154+([4]Values!$D$8*H154)+([4]Values!$D$9*I154)+(K154*[4]Values!$D$10)+(L154*[4]Values!$D$11)+1)</f>
        <v>4.030572192620571E-3</v>
      </c>
      <c r="K154" s="133">
        <v>1</v>
      </c>
      <c r="L154" s="160">
        <v>0</v>
      </c>
      <c r="M154" s="149" t="s">
        <v>23</v>
      </c>
    </row>
    <row r="155" spans="1:13" ht="12.3">
      <c r="A155" s="153">
        <v>42927</v>
      </c>
      <c r="B155" s="150" t="s">
        <v>258</v>
      </c>
      <c r="C155" s="137" t="s">
        <v>1376</v>
      </c>
      <c r="D155" s="138">
        <v>5.2</v>
      </c>
      <c r="E155" s="137"/>
      <c r="F155" s="150" t="s">
        <v>1375</v>
      </c>
      <c r="G155" s="136">
        <v>0</v>
      </c>
      <c r="H155" s="135">
        <v>1</v>
      </c>
      <c r="I155" s="134">
        <v>0</v>
      </c>
      <c r="J155" s="157">
        <f>LOG(G155+([4]Values!$D$8*H155)+([4]Values!$D$9*I155)+(K155*[4]Values!$D$10)+(L155*[4]Values!$D$11)+1)</f>
        <v>0.10543129498514324</v>
      </c>
      <c r="K155" s="133">
        <v>2</v>
      </c>
      <c r="L155" s="160">
        <v>0</v>
      </c>
      <c r="M155" s="149" t="s">
        <v>23</v>
      </c>
    </row>
    <row r="156" spans="1:13" ht="12.3">
      <c r="A156" s="153">
        <v>42927</v>
      </c>
      <c r="B156" s="150" t="s">
        <v>1184</v>
      </c>
      <c r="C156" s="137" t="s">
        <v>1374</v>
      </c>
      <c r="D156" s="138">
        <v>3.1</v>
      </c>
      <c r="E156" s="137">
        <v>9</v>
      </c>
      <c r="F156" s="150" t="s">
        <v>684</v>
      </c>
      <c r="G156" s="136">
        <v>0</v>
      </c>
      <c r="H156" s="135">
        <v>0</v>
      </c>
      <c r="I156" s="134">
        <v>0</v>
      </c>
      <c r="J156" s="157">
        <f>LOG(G156+([4]Values!$D$8*H156)+([4]Values!$D$9*I156)+(K156*[4]Values!$D$10)+(L156*[4]Values!$D$11)+1)</f>
        <v>4.030572192620571E-3</v>
      </c>
      <c r="K156" s="133">
        <v>1</v>
      </c>
      <c r="L156" s="160">
        <v>0</v>
      </c>
      <c r="M156" s="149" t="s">
        <v>23</v>
      </c>
    </row>
    <row r="157" spans="1:13" ht="12.3">
      <c r="A157" s="153">
        <v>42930</v>
      </c>
      <c r="B157" s="150" t="s">
        <v>44</v>
      </c>
      <c r="C157" s="137" t="s">
        <v>343</v>
      </c>
      <c r="D157" s="152">
        <v>5.5</v>
      </c>
      <c r="E157" s="137"/>
      <c r="F157" s="150"/>
      <c r="G157" s="136">
        <v>0</v>
      </c>
      <c r="H157" s="135">
        <v>1</v>
      </c>
      <c r="I157" s="134"/>
      <c r="J157" s="157">
        <f>LOG(G157+([4]Values!$D$8*H157)+([4]Values!$D$9*I157)+(K157*[4]Values!$D$10)+(L157*[4]Values!$D$11)+1)</f>
        <v>0.34999272678313609</v>
      </c>
      <c r="K157" s="133">
        <v>48</v>
      </c>
      <c r="L157" s="160">
        <v>17</v>
      </c>
      <c r="M157" s="149" t="s">
        <v>23</v>
      </c>
    </row>
    <row r="158" spans="1:13" ht="12.3">
      <c r="A158" s="153">
        <v>42931</v>
      </c>
      <c r="B158" s="150" t="s">
        <v>83</v>
      </c>
      <c r="C158" s="137" t="s">
        <v>891</v>
      </c>
      <c r="D158" s="138">
        <v>4</v>
      </c>
      <c r="E158" s="137"/>
      <c r="F158" s="137" t="s">
        <v>134</v>
      </c>
      <c r="G158" s="136">
        <v>0</v>
      </c>
      <c r="H158" s="135">
        <v>0</v>
      </c>
      <c r="I158" s="134"/>
      <c r="J158" s="157">
        <f>LOG(G158+([4]Values!$D$8*H158)+([4]Values!$D$9*I158)+(K158*[4]Values!$D$10)+(L158*[4]Values!$D$11)+1)</f>
        <v>3.8715255314556482E-2</v>
      </c>
      <c r="K158" s="133">
        <v>10</v>
      </c>
      <c r="L158" s="160"/>
      <c r="M158" s="149" t="s">
        <v>23</v>
      </c>
    </row>
    <row r="159" spans="1:13" ht="12.3">
      <c r="A159" s="153">
        <v>42931</v>
      </c>
      <c r="B159" s="150" t="s">
        <v>156</v>
      </c>
      <c r="C159" s="137" t="s">
        <v>1373</v>
      </c>
      <c r="D159" s="138">
        <v>5.3</v>
      </c>
      <c r="E159" s="137"/>
      <c r="F159" s="137" t="s">
        <v>134</v>
      </c>
      <c r="G159" s="136">
        <v>0</v>
      </c>
      <c r="H159" s="135">
        <v>0</v>
      </c>
      <c r="I159" s="134">
        <v>0</v>
      </c>
      <c r="J159" s="157">
        <f>LOG(G159+([4]Values!$D$8*H159)+([4]Values!$D$9*I159)+(K159*[4]Values!$D$10)+(L159*[4]Values!$D$11)+1)</f>
        <v>4.030572192620571E-3</v>
      </c>
      <c r="K159" s="133">
        <v>1</v>
      </c>
      <c r="L159" s="160">
        <v>0</v>
      </c>
      <c r="M159" s="149" t="s">
        <v>23</v>
      </c>
    </row>
    <row r="160" spans="1:13" ht="12.3">
      <c r="A160" s="153">
        <v>42932</v>
      </c>
      <c r="B160" s="150" t="s">
        <v>83</v>
      </c>
      <c r="C160" s="137" t="s">
        <v>150</v>
      </c>
      <c r="D160" s="138">
        <v>4.9000000000000004</v>
      </c>
      <c r="E160" s="137">
        <v>21</v>
      </c>
      <c r="F160" s="150"/>
      <c r="G160" s="136">
        <v>0</v>
      </c>
      <c r="H160" s="135"/>
      <c r="I160" s="134"/>
      <c r="J160" s="157">
        <f>LOG(G160+([4]Values!$D$8*H160)+([4]Values!$D$9*I160)+(K160*[4]Values!$D$10)+(L160*[4]Values!$D$11)+1)</f>
        <v>0.16342163966166609</v>
      </c>
      <c r="K160" s="133">
        <v>49</v>
      </c>
      <c r="L160" s="160">
        <v>0</v>
      </c>
      <c r="M160" s="149" t="s">
        <v>23</v>
      </c>
    </row>
    <row r="161" spans="1:13" ht="12.3">
      <c r="A161" s="153">
        <v>42933</v>
      </c>
      <c r="B161" s="150" t="s">
        <v>172</v>
      </c>
      <c r="C161" s="137" t="s">
        <v>1372</v>
      </c>
      <c r="D161" s="152">
        <v>7.7</v>
      </c>
      <c r="E161" s="137">
        <v>11</v>
      </c>
      <c r="F161" s="137" t="s">
        <v>363</v>
      </c>
      <c r="G161" s="136">
        <v>0</v>
      </c>
      <c r="H161" s="135">
        <v>0</v>
      </c>
      <c r="I161" s="134">
        <v>0</v>
      </c>
      <c r="J161" s="157">
        <f>LOG(G161+([4]Values!$D$8*H161)+([4]Values!$D$9*I161)+(K161*[4]Values!$D$10)+(L161*[4]Values!$D$11)+1)</f>
        <v>0</v>
      </c>
      <c r="K161" s="133">
        <v>0</v>
      </c>
      <c r="L161" s="160">
        <v>0</v>
      </c>
      <c r="M161" s="149" t="s">
        <v>638</v>
      </c>
    </row>
    <row r="162" spans="1:13" ht="12.3">
      <c r="A162" s="155">
        <v>42934</v>
      </c>
      <c r="B162" s="145" t="s">
        <v>72</v>
      </c>
      <c r="C162" s="145" t="s">
        <v>1361</v>
      </c>
      <c r="D162" s="146">
        <v>6.3</v>
      </c>
      <c r="E162" s="145">
        <v>28</v>
      </c>
      <c r="F162" s="145" t="s">
        <v>134</v>
      </c>
      <c r="G162" s="136">
        <v>1</v>
      </c>
      <c r="H162" s="135">
        <v>9</v>
      </c>
      <c r="I162" s="144">
        <v>0</v>
      </c>
      <c r="J162" s="157">
        <f>LOG(G162+([4]Values!$D$8*H162)+([4]Values!$D$9*I162)+(K162*[4]Values!$D$10)+(L162*[4]Values!$D$11)+1)</f>
        <v>0.63585884641092705</v>
      </c>
      <c r="K162" s="142">
        <v>2</v>
      </c>
      <c r="L162" s="142">
        <v>0</v>
      </c>
      <c r="M162" s="141" t="s">
        <v>23</v>
      </c>
    </row>
    <row r="163" spans="1:13" ht="12.3">
      <c r="A163" s="164">
        <v>42934</v>
      </c>
      <c r="B163" s="150" t="s">
        <v>44</v>
      </c>
      <c r="C163" s="137" t="s">
        <v>57</v>
      </c>
      <c r="D163" s="138">
        <v>3.7</v>
      </c>
      <c r="E163" s="137"/>
      <c r="F163" s="137"/>
      <c r="G163" s="136">
        <v>0</v>
      </c>
      <c r="H163" s="135">
        <v>0</v>
      </c>
      <c r="I163" s="134"/>
      <c r="J163" s="157">
        <f>LOG(G163+([4]Values!$D$8*H163)+([4]Values!$D$9*I163)+(K163*[4]Values!$D$10)+(L163*[4]Values!$D$11)+1)</f>
        <v>0.21972200087093174</v>
      </c>
      <c r="K163" s="133">
        <v>47</v>
      </c>
      <c r="L163" s="133">
        <v>7</v>
      </c>
      <c r="M163" s="149" t="s">
        <v>23</v>
      </c>
    </row>
    <row r="164" spans="1:13" ht="12.3">
      <c r="A164" s="155">
        <v>42936</v>
      </c>
      <c r="B164" s="145" t="s">
        <v>156</v>
      </c>
      <c r="C164" s="145" t="s">
        <v>1371</v>
      </c>
      <c r="D164" s="146">
        <v>6.5</v>
      </c>
      <c r="E164" s="145">
        <v>10</v>
      </c>
      <c r="F164" s="145" t="s">
        <v>123</v>
      </c>
      <c r="G164" s="136">
        <v>2</v>
      </c>
      <c r="H164" s="135">
        <v>520</v>
      </c>
      <c r="I164" s="144"/>
      <c r="J164" s="157">
        <f>LOG(G164+([4]Values!$D$8*H164)+([4]Values!$D$9*I164)+(K164*[4]Values!$D$10)+(L164*[4]Values!$D$11)+1)</f>
        <v>2.1393097194876058</v>
      </c>
      <c r="K164" s="142"/>
      <c r="L164" s="142">
        <v>52</v>
      </c>
      <c r="M164" s="141" t="s">
        <v>1370</v>
      </c>
    </row>
    <row r="165" spans="1:13" ht="12.3">
      <c r="A165" s="153">
        <v>42938</v>
      </c>
      <c r="B165" s="150" t="s">
        <v>83</v>
      </c>
      <c r="C165" s="137" t="s">
        <v>605</v>
      </c>
      <c r="D165" s="138">
        <v>4.9000000000000004</v>
      </c>
      <c r="E165" s="137">
        <v>12</v>
      </c>
      <c r="F165" s="137"/>
      <c r="G165" s="136">
        <v>0</v>
      </c>
      <c r="H165" s="154">
        <v>1</v>
      </c>
      <c r="I165" s="134">
        <v>400</v>
      </c>
      <c r="J165" s="157">
        <f>LOG(G165+([4]Values!$D$8*H165)+([4]Values!$D$9*I165)+(K165*[4]Values!$D$10)+(L165*[4]Values!$D$11)+1)</f>
        <v>1.8553555786137457</v>
      </c>
      <c r="K165" s="133">
        <v>6512</v>
      </c>
      <c r="L165" s="133">
        <v>69</v>
      </c>
      <c r="M165" s="149" t="s">
        <v>23</v>
      </c>
    </row>
    <row r="166" spans="1:13" ht="12.3">
      <c r="A166" s="153">
        <v>42939</v>
      </c>
      <c r="B166" s="150" t="s">
        <v>17</v>
      </c>
      <c r="C166" s="137" t="s">
        <v>1137</v>
      </c>
      <c r="D166" s="138">
        <v>5.4</v>
      </c>
      <c r="E166" s="137">
        <v>10</v>
      </c>
      <c r="F166" s="137" t="s">
        <v>123</v>
      </c>
      <c r="G166" s="136">
        <v>0</v>
      </c>
      <c r="H166" s="154">
        <v>1</v>
      </c>
      <c r="I166" s="134"/>
      <c r="J166" s="157">
        <f>LOG(G166+([4]Values!$D$8*H166)+([4]Values!$D$9*I166)+(K166*[4]Values!$D$10)+(L166*[4]Values!$D$11)+1)</f>
        <v>0.15028895194781083</v>
      </c>
      <c r="K166" s="133"/>
      <c r="L166" s="133">
        <v>5</v>
      </c>
      <c r="M166" s="149" t="s">
        <v>23</v>
      </c>
    </row>
    <row r="167" spans="1:13" ht="12.3">
      <c r="A167" s="153" t="s">
        <v>1369</v>
      </c>
      <c r="B167" s="150" t="s">
        <v>17</v>
      </c>
      <c r="C167" s="137" t="s">
        <v>1368</v>
      </c>
      <c r="D167" s="138">
        <v>4.7</v>
      </c>
      <c r="E167" s="137">
        <v>2</v>
      </c>
      <c r="F167" s="137"/>
      <c r="G167" s="136">
        <v>0</v>
      </c>
      <c r="H167" s="154">
        <v>15</v>
      </c>
      <c r="I167" s="134"/>
      <c r="J167" s="157">
        <f>LOG(G167+([4]Values!$D$8*H167)+([4]Values!$D$9*I167)+(K167*[4]Values!$D$10)+(L167*[4]Values!$D$11)+1)</f>
        <v>0.74994639509850147</v>
      </c>
      <c r="K167" s="133">
        <v>50</v>
      </c>
      <c r="L167" s="133">
        <v>10</v>
      </c>
      <c r="M167" s="149" t="s">
        <v>23</v>
      </c>
    </row>
    <row r="168" spans="1:13" ht="12.3">
      <c r="A168" s="153">
        <v>42946</v>
      </c>
      <c r="B168" s="150" t="s">
        <v>17</v>
      </c>
      <c r="C168" s="137" t="s">
        <v>1367</v>
      </c>
      <c r="D168" s="138">
        <v>5</v>
      </c>
      <c r="E168" s="137"/>
      <c r="F168" s="137"/>
      <c r="G168" s="136">
        <v>0</v>
      </c>
      <c r="H168" s="154">
        <v>25</v>
      </c>
      <c r="I168" s="134"/>
      <c r="J168" s="157">
        <f>LOG(G168+([4]Values!$D$8*H168)+([4]Values!$D$9*I168)+(K168*[4]Values!$D$10)+(L168*[4]Values!$D$11)+1)</f>
        <v>0.92092681912668251</v>
      </c>
      <c r="K168" s="133">
        <v>100</v>
      </c>
      <c r="L168" s="133"/>
      <c r="M168" s="149" t="s">
        <v>23</v>
      </c>
    </row>
    <row r="169" spans="1:13" ht="12.3">
      <c r="A169" s="155">
        <v>42949</v>
      </c>
      <c r="B169" s="145" t="s">
        <v>359</v>
      </c>
      <c r="C169" s="145" t="s">
        <v>1366</v>
      </c>
      <c r="D169" s="146">
        <v>5.5</v>
      </c>
      <c r="E169" s="145">
        <v>88</v>
      </c>
      <c r="F169" s="145" t="s">
        <v>35</v>
      </c>
      <c r="G169" s="136">
        <v>1</v>
      </c>
      <c r="H169" s="135">
        <v>0</v>
      </c>
      <c r="I169" s="144"/>
      <c r="J169" s="157">
        <f>LOG(G169+([4]Values!$D$8*H169)+([4]Values!$D$9*I169)+(K169*[4]Values!$D$10)+(L169*[4]Values!$D$11)+1)</f>
        <v>0.3010299956639812</v>
      </c>
      <c r="K169" s="142">
        <v>0</v>
      </c>
      <c r="L169" s="142">
        <v>0</v>
      </c>
      <c r="M169" s="141" t="s">
        <v>23</v>
      </c>
    </row>
    <row r="170" spans="1:13" ht="12.3">
      <c r="A170" s="153">
        <v>42952</v>
      </c>
      <c r="B170" s="150" t="s">
        <v>83</v>
      </c>
      <c r="C170" s="137" t="s">
        <v>871</v>
      </c>
      <c r="D170" s="138">
        <v>3.3</v>
      </c>
      <c r="E170" s="137">
        <v>10</v>
      </c>
      <c r="F170" s="137"/>
      <c r="G170" s="136">
        <v>0</v>
      </c>
      <c r="H170" s="154">
        <v>0</v>
      </c>
      <c r="I170" s="134">
        <v>0</v>
      </c>
      <c r="J170" s="157">
        <f>LOG(G170+([4]Values!$D$8*H170)+([4]Values!$D$9*I170)+(K170*[4]Values!$D$10)+(L170*[4]Values!$D$11)+1)</f>
        <v>3.8715255314556482E-2</v>
      </c>
      <c r="K170" s="133">
        <v>10</v>
      </c>
      <c r="L170" s="133">
        <v>0</v>
      </c>
      <c r="M170" s="149" t="s">
        <v>23</v>
      </c>
    </row>
    <row r="171" spans="1:13" ht="12.3">
      <c r="A171" s="153">
        <v>42952</v>
      </c>
      <c r="B171" s="150" t="s">
        <v>62</v>
      </c>
      <c r="C171" s="137" t="s">
        <v>1365</v>
      </c>
      <c r="D171" s="152">
        <v>5.9</v>
      </c>
      <c r="E171" s="137">
        <v>70</v>
      </c>
      <c r="F171" s="137" t="s">
        <v>1364</v>
      </c>
      <c r="G171" s="136">
        <v>0</v>
      </c>
      <c r="H171" s="154">
        <v>0</v>
      </c>
      <c r="I171" s="134">
        <v>0</v>
      </c>
      <c r="J171" s="157">
        <f>LOG(G171+([4]Values!$D$8*H171)+([4]Values!$D$9*I171)+(K171*[4]Values!$D$10)+(L171*[4]Values!$D$11)+1)</f>
        <v>5.6851142226527845E-2</v>
      </c>
      <c r="K171" s="133">
        <v>15</v>
      </c>
      <c r="L171" s="133">
        <v>0</v>
      </c>
      <c r="M171" s="149" t="s">
        <v>23</v>
      </c>
    </row>
    <row r="172" spans="1:13" ht="12.3">
      <c r="A172" s="153">
        <v>42952</v>
      </c>
      <c r="B172" s="150" t="s">
        <v>62</v>
      </c>
      <c r="C172" s="137" t="s">
        <v>1363</v>
      </c>
      <c r="D172" s="138">
        <v>5</v>
      </c>
      <c r="E172" s="137">
        <v>11</v>
      </c>
      <c r="F172" s="137" t="s">
        <v>35</v>
      </c>
      <c r="G172" s="136">
        <v>0</v>
      </c>
      <c r="H172" s="154">
        <v>2</v>
      </c>
      <c r="I172" s="134">
        <v>8</v>
      </c>
      <c r="J172" s="157">
        <f>LOG(G172+([4]Values!$D$8*H172)+([4]Values!$D$9*I172)+(K172*[4]Values!$D$10)+(L172*[4]Values!$D$11)+1)</f>
        <v>0.3663852591856156</v>
      </c>
      <c r="K172" s="133">
        <v>71</v>
      </c>
      <c r="L172" s="133"/>
      <c r="M172" s="149" t="s">
        <v>23</v>
      </c>
    </row>
    <row r="173" spans="1:13" ht="12.3">
      <c r="A173" s="153">
        <v>42955</v>
      </c>
      <c r="B173" s="150" t="s">
        <v>105</v>
      </c>
      <c r="C173" s="137" t="s">
        <v>1314</v>
      </c>
      <c r="D173" s="138">
        <v>5.2</v>
      </c>
      <c r="E173" s="137"/>
      <c r="F173" s="137"/>
      <c r="G173" s="136">
        <v>0</v>
      </c>
      <c r="H173" s="154">
        <v>0</v>
      </c>
      <c r="I173" s="134"/>
      <c r="J173" s="157">
        <f>LOG(G173+([4]Values!$D$8*H173)+([4]Values!$D$9*I173)+(K173*[4]Values!$D$10)+(L173*[4]Values!$D$11)+1)</f>
        <v>8.0240814190273343E-3</v>
      </c>
      <c r="K173" s="133">
        <v>2</v>
      </c>
      <c r="L173" s="133">
        <v>0</v>
      </c>
      <c r="M173" s="149" t="s">
        <v>23</v>
      </c>
    </row>
    <row r="174" spans="1:13" ht="12.3">
      <c r="A174" s="155">
        <v>42955</v>
      </c>
      <c r="B174" s="145" t="s">
        <v>83</v>
      </c>
      <c r="C174" s="145" t="s">
        <v>150</v>
      </c>
      <c r="D174" s="146">
        <v>6.5</v>
      </c>
      <c r="E174" s="145">
        <v>9</v>
      </c>
      <c r="F174" s="145" t="s">
        <v>687</v>
      </c>
      <c r="G174" s="136">
        <v>25</v>
      </c>
      <c r="H174" s="135">
        <v>525</v>
      </c>
      <c r="I174" s="144">
        <v>23477</v>
      </c>
      <c r="J174" s="157">
        <f>LOG(G174+([4]Values!$D$8*H174)+([4]Values!$D$9*I174)+(K174*[4]Values!$D$10)+(L174*[4]Values!$D$11)+1)</f>
        <v>3.1277749498678227</v>
      </c>
      <c r="K174" s="142">
        <v>73671</v>
      </c>
      <c r="L174" s="142">
        <v>1680</v>
      </c>
      <c r="M174" s="141" t="s">
        <v>23</v>
      </c>
    </row>
    <row r="175" spans="1:13" ht="12.3">
      <c r="A175" s="153">
        <v>42955</v>
      </c>
      <c r="B175" s="150" t="s">
        <v>83</v>
      </c>
      <c r="C175" s="137" t="s">
        <v>84</v>
      </c>
      <c r="D175" s="152">
        <v>6.3</v>
      </c>
      <c r="E175" s="137">
        <v>11</v>
      </c>
      <c r="F175" s="150" t="s">
        <v>363</v>
      </c>
      <c r="G175" s="136">
        <v>0</v>
      </c>
      <c r="H175" s="135">
        <v>32</v>
      </c>
      <c r="I175" s="163">
        <v>2000</v>
      </c>
      <c r="J175" s="157">
        <f>LOG(G175+([4]Values!$D$8*H175)+([4]Values!$D$9*I175)+(K175*[4]Values!$D$10)+(L175*[4]Values!$D$11)+1)</f>
        <v>2.0410487193725815</v>
      </c>
      <c r="K175" s="133">
        <v>5469</v>
      </c>
      <c r="L175" s="133">
        <v>384</v>
      </c>
      <c r="M175" s="132" t="s">
        <v>23</v>
      </c>
    </row>
    <row r="176" spans="1:13" ht="12.3">
      <c r="A176" s="153">
        <v>42956</v>
      </c>
      <c r="B176" s="150" t="s">
        <v>132</v>
      </c>
      <c r="C176" s="137" t="s">
        <v>1362</v>
      </c>
      <c r="D176" s="138">
        <v>4.2</v>
      </c>
      <c r="E176" s="137">
        <v>3</v>
      </c>
      <c r="F176" s="137" t="s">
        <v>134</v>
      </c>
      <c r="G176" s="136">
        <v>0</v>
      </c>
      <c r="H176" s="135">
        <v>0</v>
      </c>
      <c r="I176" s="134">
        <v>0</v>
      </c>
      <c r="J176" s="157">
        <f>LOG(G176+([4]Values!$D$8*H176)+([4]Values!$D$9*I176)+(K176*[4]Values!$D$10)+(L176*[4]Values!$D$11)+1)</f>
        <v>8.0240814190273343E-3</v>
      </c>
      <c r="K176" s="133">
        <v>2</v>
      </c>
      <c r="L176" s="133">
        <v>0</v>
      </c>
      <c r="M176" s="132" t="s">
        <v>23</v>
      </c>
    </row>
    <row r="177" spans="1:13" ht="12.3">
      <c r="A177" s="155">
        <v>42958</v>
      </c>
      <c r="B177" s="145" t="s">
        <v>72</v>
      </c>
      <c r="C177" s="145" t="s">
        <v>1361</v>
      </c>
      <c r="D177" s="146">
        <v>6</v>
      </c>
      <c r="E177" s="145">
        <v>44</v>
      </c>
      <c r="F177" s="145" t="s">
        <v>134</v>
      </c>
      <c r="G177" s="136">
        <v>1</v>
      </c>
      <c r="H177" s="135">
        <v>2</v>
      </c>
      <c r="I177" s="144"/>
      <c r="J177" s="157">
        <f>LOG(G177+([4]Values!$D$8*H177)+([4]Values!$D$9*I177)+(K177*[4]Values!$D$10)+(L177*[4]Values!$D$11)+1)</f>
        <v>0.40167017262026367</v>
      </c>
      <c r="K177" s="142">
        <v>1</v>
      </c>
      <c r="L177" s="142"/>
      <c r="M177" s="141" t="s">
        <v>23</v>
      </c>
    </row>
    <row r="178" spans="1:13" ht="12.3">
      <c r="A178" s="153">
        <v>42960</v>
      </c>
      <c r="B178" s="137" t="s">
        <v>44</v>
      </c>
      <c r="C178" s="137" t="s">
        <v>1360</v>
      </c>
      <c r="D178" s="152">
        <v>6.6</v>
      </c>
      <c r="E178" s="137">
        <v>55</v>
      </c>
      <c r="F178" s="137" t="s">
        <v>35</v>
      </c>
      <c r="G178" s="136">
        <v>0</v>
      </c>
      <c r="H178" s="135">
        <v>0</v>
      </c>
      <c r="I178" s="134"/>
      <c r="J178" s="157">
        <f>LOG(G178+([4]Values!$D$8*H178)+([4]Values!$D$9*I178)+(K178*[4]Values!$D$10)+(L178*[4]Values!$D$11)+1)</f>
        <v>1.5902594341210354E-2</v>
      </c>
      <c r="K178" s="133">
        <v>4</v>
      </c>
      <c r="L178" s="133"/>
      <c r="M178" s="132" t="s">
        <v>23</v>
      </c>
    </row>
    <row r="179" spans="1:13" ht="12.3">
      <c r="A179" s="153">
        <v>42962</v>
      </c>
      <c r="B179" s="137" t="s">
        <v>83</v>
      </c>
      <c r="C179" s="137" t="s">
        <v>891</v>
      </c>
      <c r="D179" s="138">
        <v>4</v>
      </c>
      <c r="E179" s="137">
        <v>6</v>
      </c>
      <c r="F179" s="137"/>
      <c r="G179" s="136">
        <v>0</v>
      </c>
      <c r="H179" s="135">
        <v>0</v>
      </c>
      <c r="I179" s="134">
        <v>0</v>
      </c>
      <c r="J179" s="157">
        <f>LOG(G179+([4]Values!$D$8*H179)+([4]Values!$D$9*I179)+(K179*[4]Values!$D$10)+(L179*[4]Values!$D$11)+1)</f>
        <v>1.1981203095237175E-2</v>
      </c>
      <c r="K179" s="133">
        <v>3</v>
      </c>
      <c r="L179" s="133">
        <v>0</v>
      </c>
      <c r="M179" s="132" t="s">
        <v>23</v>
      </c>
    </row>
    <row r="180" spans="1:13" ht="12.3">
      <c r="A180" s="153">
        <v>42964</v>
      </c>
      <c r="B180" s="137" t="s">
        <v>72</v>
      </c>
      <c r="C180" s="137" t="s">
        <v>223</v>
      </c>
      <c r="D180" s="138">
        <v>4.5</v>
      </c>
      <c r="E180" s="137">
        <v>183</v>
      </c>
      <c r="F180" s="137"/>
      <c r="G180" s="136">
        <v>0</v>
      </c>
      <c r="H180" s="135">
        <v>0</v>
      </c>
      <c r="I180" s="134">
        <v>0</v>
      </c>
      <c r="J180" s="157">
        <f>LOG(G180+([4]Values!$D$8*H180)+([4]Values!$D$9*I180)+(K180*[4]Values!$D$10)+(L180*[4]Values!$D$11)+1)</f>
        <v>4.030572192620571E-3</v>
      </c>
      <c r="K180" s="133">
        <v>1</v>
      </c>
      <c r="L180" s="133">
        <v>0</v>
      </c>
      <c r="M180" s="132" t="s">
        <v>23</v>
      </c>
    </row>
    <row r="181" spans="1:13" ht="12.3">
      <c r="A181" s="153">
        <v>42965</v>
      </c>
      <c r="B181" s="137" t="s">
        <v>1222</v>
      </c>
      <c r="C181" s="137" t="s">
        <v>1359</v>
      </c>
      <c r="D181" s="138">
        <v>4.5</v>
      </c>
      <c r="E181" s="137"/>
      <c r="F181" s="137"/>
      <c r="G181" s="136">
        <v>0</v>
      </c>
      <c r="H181" s="135">
        <v>0</v>
      </c>
      <c r="I181" s="134"/>
      <c r="J181" s="157">
        <f>LOG(G181+([4]Values!$D$8*H181)+([4]Values!$D$9*I181)+(K181*[4]Values!$D$10)+(L181*[4]Values!$D$11)+1)</f>
        <v>5.6851142226527845E-2</v>
      </c>
      <c r="K181" s="133">
        <v>15</v>
      </c>
      <c r="L181" s="133"/>
      <c r="M181" s="132" t="s">
        <v>23</v>
      </c>
    </row>
    <row r="182" spans="1:13" ht="12.3">
      <c r="A182" s="155">
        <v>42968</v>
      </c>
      <c r="B182" s="145" t="s">
        <v>199</v>
      </c>
      <c r="C182" s="145" t="s">
        <v>1358</v>
      </c>
      <c r="D182" s="146">
        <v>4</v>
      </c>
      <c r="E182" s="145">
        <v>2</v>
      </c>
      <c r="F182" s="145" t="s">
        <v>363</v>
      </c>
      <c r="G182" s="136">
        <v>2</v>
      </c>
      <c r="H182" s="135">
        <v>42</v>
      </c>
      <c r="I182" s="144">
        <v>1800</v>
      </c>
      <c r="J182" s="157">
        <f>LOG(G182+([4]Values!$D$8*H182)+([4]Values!$D$9*I182)+(K182*[4]Values!$D$10)+(L182*[4]Values!$D$11)+1)</f>
        <v>1.6919154061822539</v>
      </c>
      <c r="K182" s="142">
        <v>100</v>
      </c>
      <c r="L182" s="142">
        <v>20</v>
      </c>
      <c r="M182" s="141" t="s">
        <v>23</v>
      </c>
    </row>
    <row r="183" spans="1:13" ht="12.3">
      <c r="A183" s="155">
        <v>42969</v>
      </c>
      <c r="B183" s="145" t="s">
        <v>62</v>
      </c>
      <c r="C183" s="145" t="s">
        <v>1357</v>
      </c>
      <c r="D183" s="146">
        <v>5.0999999999999996</v>
      </c>
      <c r="E183" s="145">
        <v>5</v>
      </c>
      <c r="F183" s="145"/>
      <c r="G183" s="136">
        <v>2</v>
      </c>
      <c r="H183" s="135">
        <v>0</v>
      </c>
      <c r="I183" s="144">
        <v>5</v>
      </c>
      <c r="J183" s="157">
        <f>LOG(G183+([4]Values!$D$8*H183)+([4]Values!$D$9*I183)+(K183*[4]Values!$D$10)+(L183*[4]Values!$D$11)+1)</f>
        <v>0.55825711732678396</v>
      </c>
      <c r="K183" s="142">
        <v>56</v>
      </c>
      <c r="L183" s="142"/>
      <c r="M183" s="141" t="s">
        <v>23</v>
      </c>
    </row>
    <row r="184" spans="1:13" ht="12.3">
      <c r="A184" s="153">
        <v>42970</v>
      </c>
      <c r="B184" s="137" t="s">
        <v>1222</v>
      </c>
      <c r="C184" s="137" t="s">
        <v>1356</v>
      </c>
      <c r="D184" s="152">
        <v>5.6</v>
      </c>
      <c r="E184" s="137">
        <v>8</v>
      </c>
      <c r="F184" s="137" t="s">
        <v>123</v>
      </c>
      <c r="G184" s="136"/>
      <c r="H184" s="135">
        <v>17</v>
      </c>
      <c r="I184" s="163"/>
      <c r="J184" s="157">
        <f>LOG(G184+([4]Values!$D$8*H184)+([4]Values!$D$9*I184)+(K184*[4]Values!$D$10)+(L184*[4]Values!$D$11)+1)</f>
        <v>0.72868236535113995</v>
      </c>
      <c r="K184" s="133"/>
      <c r="L184" s="133"/>
      <c r="M184" s="149" t="s">
        <v>23</v>
      </c>
    </row>
    <row r="185" spans="1:13" ht="12.3">
      <c r="A185" s="153">
        <v>42970</v>
      </c>
      <c r="B185" s="137" t="s">
        <v>24</v>
      </c>
      <c r="C185" s="137" t="s">
        <v>802</v>
      </c>
      <c r="D185" s="138">
        <v>5</v>
      </c>
      <c r="E185" s="137"/>
      <c r="F185" s="137"/>
      <c r="G185" s="136">
        <v>0</v>
      </c>
      <c r="H185" s="135">
        <v>0</v>
      </c>
      <c r="I185" s="163"/>
      <c r="J185" s="157">
        <f>LOG(G185+([4]Values!$D$8*H185)+([4]Values!$D$9*I185)+(K185*[4]Values!$D$10)+(L185*[4]Values!$D$11)+1)</f>
        <v>0.16619225265371032</v>
      </c>
      <c r="K185" s="133">
        <v>50</v>
      </c>
      <c r="L185" s="133"/>
      <c r="M185" s="149" t="s">
        <v>23</v>
      </c>
    </row>
    <row r="186" spans="1:13" ht="12.3">
      <c r="A186" s="153">
        <v>42971</v>
      </c>
      <c r="B186" s="137" t="s">
        <v>72</v>
      </c>
      <c r="C186" s="137" t="s">
        <v>223</v>
      </c>
      <c r="D186" s="138">
        <v>4.3</v>
      </c>
      <c r="E186" s="137"/>
      <c r="F186" s="137" t="s">
        <v>684</v>
      </c>
      <c r="G186" s="136">
        <v>0</v>
      </c>
      <c r="H186" s="135">
        <v>0</v>
      </c>
      <c r="I186" s="134">
        <v>0</v>
      </c>
      <c r="J186" s="157">
        <f>LOG(G186+([4]Values!$D$8*H186)+([4]Values!$D$9*I186)+(K186*[4]Values!$D$10)+(L186*[4]Values!$D$11)+1)</f>
        <v>6.0389177741638628E-2</v>
      </c>
      <c r="K186" s="133">
        <v>16</v>
      </c>
      <c r="L186" s="133">
        <v>0</v>
      </c>
      <c r="M186" s="149" t="s">
        <v>23</v>
      </c>
    </row>
    <row r="187" spans="1:13" ht="12.3">
      <c r="A187" s="153">
        <v>42974</v>
      </c>
      <c r="B187" s="137" t="s">
        <v>17</v>
      </c>
      <c r="C187" s="137" t="s">
        <v>768</v>
      </c>
      <c r="D187" s="138">
        <v>4.9000000000000004</v>
      </c>
      <c r="E187" s="137">
        <v>6</v>
      </c>
      <c r="F187" s="137"/>
      <c r="G187" s="136">
        <v>0</v>
      </c>
      <c r="H187" s="135">
        <v>20</v>
      </c>
      <c r="I187" s="134">
        <v>800</v>
      </c>
      <c r="J187" s="157">
        <f>LOG(G187+([4]Values!$D$8*H187)+([4]Values!$D$9*I187)+(K187*[4]Values!$D$10)+(L187*[4]Values!$D$11)+1)</f>
        <v>1.584525955771017</v>
      </c>
      <c r="K187" s="133">
        <v>330</v>
      </c>
      <c r="L187" s="133">
        <v>450</v>
      </c>
      <c r="M187" s="149" t="s">
        <v>23</v>
      </c>
    </row>
    <row r="188" spans="1:13" ht="12.3">
      <c r="A188" s="153">
        <v>42975</v>
      </c>
      <c r="B188" s="137" t="s">
        <v>72</v>
      </c>
      <c r="C188" s="137" t="s">
        <v>300</v>
      </c>
      <c r="D188" s="138">
        <v>4.7</v>
      </c>
      <c r="E188" s="137">
        <v>17</v>
      </c>
      <c r="F188" s="137"/>
      <c r="G188" s="136">
        <v>0</v>
      </c>
      <c r="H188" s="135">
        <v>0</v>
      </c>
      <c r="I188" s="134">
        <v>8</v>
      </c>
      <c r="J188" s="157">
        <f>LOG(G188+([4]Values!$D$8*H188)+([4]Values!$D$9*I188)+(K188*[4]Values!$D$10)+(L188*[4]Values!$D$11)+1)</f>
        <v>0.34094232331580471</v>
      </c>
      <c r="K188" s="133">
        <v>105</v>
      </c>
      <c r="L188" s="133">
        <v>2</v>
      </c>
      <c r="M188" s="149" t="s">
        <v>23</v>
      </c>
    </row>
    <row r="189" spans="1:13" ht="12.3">
      <c r="A189" s="153">
        <v>42976</v>
      </c>
      <c r="B189" s="137" t="s">
        <v>615</v>
      </c>
      <c r="C189" s="137" t="s">
        <v>616</v>
      </c>
      <c r="D189" s="138">
        <v>1.8</v>
      </c>
      <c r="E189" s="137">
        <v>3</v>
      </c>
      <c r="F189" s="137"/>
      <c r="G189" s="136">
        <v>0</v>
      </c>
      <c r="H189" s="135">
        <v>0</v>
      </c>
      <c r="I189" s="134">
        <v>0</v>
      </c>
      <c r="J189" s="157">
        <f>LOG(G189+([4]Values!$D$8*H189)+([4]Values!$D$9*I189)+(K189*[4]Values!$D$10)+(L189*[4]Values!$D$11)+1)</f>
        <v>1.5902594341210354E-2</v>
      </c>
      <c r="K189" s="133">
        <v>4</v>
      </c>
      <c r="L189" s="133">
        <v>0</v>
      </c>
      <c r="M189" s="149" t="s">
        <v>23</v>
      </c>
    </row>
    <row r="190" spans="1:13" ht="12.3">
      <c r="A190" s="153">
        <v>42977</v>
      </c>
      <c r="B190" s="137" t="s">
        <v>346</v>
      </c>
      <c r="C190" s="137" t="s">
        <v>1355</v>
      </c>
      <c r="D190" s="138">
        <v>4.5</v>
      </c>
      <c r="E190" s="137"/>
      <c r="F190" s="137"/>
      <c r="G190" s="136">
        <v>0</v>
      </c>
      <c r="H190" s="135">
        <v>2</v>
      </c>
      <c r="I190" s="134"/>
      <c r="J190" s="157">
        <f>LOG(G190+([4]Values!$D$8*H190)+([4]Values!$D$9*I190)+(K190*[4]Values!$D$10)+(L190*[4]Values!$D$11)+1)</f>
        <v>0.19280732737989018</v>
      </c>
      <c r="K190" s="133">
        <v>5</v>
      </c>
      <c r="L190" s="133">
        <v>0</v>
      </c>
      <c r="M190" s="149" t="s">
        <v>23</v>
      </c>
    </row>
    <row r="191" spans="1:13" ht="12.3">
      <c r="A191" s="153">
        <v>42978</v>
      </c>
      <c r="B191" s="137" t="s">
        <v>17</v>
      </c>
      <c r="C191" s="137" t="s">
        <v>110</v>
      </c>
      <c r="D191" s="138">
        <v>5.4</v>
      </c>
      <c r="E191" s="137"/>
      <c r="F191" s="137"/>
      <c r="G191" s="136">
        <v>0</v>
      </c>
      <c r="H191" s="135">
        <v>0</v>
      </c>
      <c r="I191" s="134"/>
      <c r="J191" s="157">
        <f>LOG(G191+([4]Values!$D$8*H191)+([4]Values!$D$9*I191)+(K191*[4]Values!$D$10)+(L191*[4]Values!$D$11)+1)</f>
        <v>3.8715255314556482E-2</v>
      </c>
      <c r="K191" s="133">
        <v>10</v>
      </c>
      <c r="L191" s="133">
        <v>0</v>
      </c>
      <c r="M191" s="149" t="s">
        <v>23</v>
      </c>
    </row>
    <row r="192" spans="1:13" ht="12.3">
      <c r="A192" s="153">
        <v>42978</v>
      </c>
      <c r="B192" s="137" t="s">
        <v>44</v>
      </c>
      <c r="C192" s="137" t="s">
        <v>1354</v>
      </c>
      <c r="D192" s="152">
        <v>6.3</v>
      </c>
      <c r="E192" s="137">
        <v>45</v>
      </c>
      <c r="F192" s="137"/>
      <c r="G192" s="136">
        <v>0</v>
      </c>
      <c r="H192" s="135">
        <v>0</v>
      </c>
      <c r="I192" s="134"/>
      <c r="J192" s="157">
        <f>LOG(G192+([4]Values!$D$8*H192)+([4]Values!$D$9*I192)+(K192*[4]Values!$D$10)+(L192*[4]Values!$D$11)+1)</f>
        <v>4.60607385378555E-2</v>
      </c>
      <c r="K192" s="133">
        <v>12</v>
      </c>
      <c r="L192" s="133"/>
      <c r="M192" s="149" t="s">
        <v>23</v>
      </c>
    </row>
    <row r="193" spans="1:13" ht="12.3">
      <c r="A193" s="153">
        <v>42979</v>
      </c>
      <c r="B193" s="137" t="s">
        <v>83</v>
      </c>
      <c r="C193" s="137" t="s">
        <v>1353</v>
      </c>
      <c r="D193" s="138">
        <v>4.5999999999999996</v>
      </c>
      <c r="E193" s="137">
        <v>10</v>
      </c>
      <c r="F193" s="137"/>
      <c r="G193" s="136">
        <v>0</v>
      </c>
      <c r="H193" s="135">
        <v>0</v>
      </c>
      <c r="I193" s="134">
        <v>27</v>
      </c>
      <c r="J193" s="157">
        <f>LOG(G193+([4]Values!$D$8*H193)+([4]Values!$D$9*I193)+(K193*[4]Values!$D$10)+(L193*[4]Values!$D$11)+1)</f>
        <v>0.76842606481643394</v>
      </c>
      <c r="K193" s="133">
        <v>400</v>
      </c>
      <c r="L193" s="133">
        <v>20</v>
      </c>
      <c r="M193" s="149" t="s">
        <v>23</v>
      </c>
    </row>
    <row r="194" spans="1:13" ht="12.3">
      <c r="A194" s="153">
        <v>42980</v>
      </c>
      <c r="B194" s="137" t="s">
        <v>1272</v>
      </c>
      <c r="C194" s="137" t="s">
        <v>1352</v>
      </c>
      <c r="D194" s="137">
        <v>4.3</v>
      </c>
      <c r="E194" s="137"/>
      <c r="F194" s="137"/>
      <c r="G194" s="136">
        <v>0</v>
      </c>
      <c r="H194" s="135">
        <v>1</v>
      </c>
      <c r="I194" s="134">
        <v>0</v>
      </c>
      <c r="J194" s="157">
        <f>LOG(G194+([4]Values!$D$8*H194)+([4]Values!$D$9*I194)+(K194*[4]Values!$D$10)+(L194*[4]Values!$D$11)+1)</f>
        <v>0.17194411791192399</v>
      </c>
      <c r="K194" s="133">
        <v>1</v>
      </c>
      <c r="L194" s="133">
        <v>7</v>
      </c>
      <c r="M194" s="149" t="s">
        <v>23</v>
      </c>
    </row>
    <row r="195" spans="1:13" ht="12.3">
      <c r="A195" s="153">
        <v>42983</v>
      </c>
      <c r="B195" s="137" t="s">
        <v>67</v>
      </c>
      <c r="C195" s="137" t="s">
        <v>1351</v>
      </c>
      <c r="D195" s="137">
        <v>3.2</v>
      </c>
      <c r="E195" s="137">
        <v>1</v>
      </c>
      <c r="F195" s="137" t="s">
        <v>134</v>
      </c>
      <c r="G195" s="136">
        <v>0</v>
      </c>
      <c r="H195" s="135">
        <v>7</v>
      </c>
      <c r="I195" s="134"/>
      <c r="J195" s="157">
        <f>LOG(G195+([4]Values!$D$8*H195)+([4]Values!$D$9*I195)+(K195*[4]Values!$D$10)+(L195*[4]Values!$D$11)+1)</f>
        <v>0.44604665105658203</v>
      </c>
      <c r="K195" s="133"/>
      <c r="L195" s="133"/>
      <c r="M195" s="149" t="s">
        <v>23</v>
      </c>
    </row>
    <row r="196" spans="1:13" ht="12.3">
      <c r="A196" s="153">
        <v>42983</v>
      </c>
      <c r="B196" s="137" t="s">
        <v>17</v>
      </c>
      <c r="C196" s="137" t="s">
        <v>1350</v>
      </c>
      <c r="D196" s="137">
        <v>4.7</v>
      </c>
      <c r="E196" s="137"/>
      <c r="F196" s="137"/>
      <c r="G196" s="136">
        <v>0</v>
      </c>
      <c r="H196" s="135">
        <v>0</v>
      </c>
      <c r="I196" s="134"/>
      <c r="J196" s="157">
        <f>LOG(G196+([4]Values!$D$8*H196)+([4]Values!$D$9*I196)+(K196*[4]Values!$D$10)+(L196*[4]Values!$D$11)+1)</f>
        <v>9.0997725520269523E-2</v>
      </c>
      <c r="K196" s="133">
        <v>25</v>
      </c>
      <c r="L196" s="133">
        <v>0</v>
      </c>
      <c r="M196" s="149" t="s">
        <v>23</v>
      </c>
    </row>
    <row r="197" spans="1:13" ht="12.3">
      <c r="A197" s="153">
        <v>42984</v>
      </c>
      <c r="B197" s="137" t="s">
        <v>317</v>
      </c>
      <c r="C197" s="137" t="s">
        <v>1349</v>
      </c>
      <c r="D197" s="137">
        <v>2.1</v>
      </c>
      <c r="E197" s="137"/>
      <c r="F197" s="137"/>
      <c r="G197" s="136">
        <v>0</v>
      </c>
      <c r="H197" s="135">
        <v>0</v>
      </c>
      <c r="I197" s="134">
        <v>0</v>
      </c>
      <c r="J197" s="157">
        <f>LOG(G197+([4]Values!$D$8*H197)+([4]Values!$D$9*I197)+(K197*[4]Values!$D$10)+(L197*[4]Values!$D$11)+1)</f>
        <v>6.0389177741638628E-2</v>
      </c>
      <c r="K197" s="133">
        <v>16</v>
      </c>
      <c r="L197" s="133">
        <v>0</v>
      </c>
      <c r="M197" s="149" t="s">
        <v>23</v>
      </c>
    </row>
    <row r="198" spans="1:13" ht="12.3">
      <c r="A198" s="155">
        <v>42986</v>
      </c>
      <c r="B198" s="145" t="s">
        <v>33</v>
      </c>
      <c r="C198" s="145" t="s">
        <v>1348</v>
      </c>
      <c r="D198" s="145">
        <v>8.1</v>
      </c>
      <c r="E198" s="145">
        <v>69</v>
      </c>
      <c r="F198" s="145" t="s">
        <v>687</v>
      </c>
      <c r="G198" s="136">
        <v>102</v>
      </c>
      <c r="H198" s="135">
        <v>304</v>
      </c>
      <c r="I198" s="144">
        <v>458392</v>
      </c>
      <c r="J198" s="157">
        <f>LOG(G198+([4]Values!$D$8*H198)+([4]Values!$D$9*I198)+(K198*[4]Values!$D$10)+(L198*[4]Values!$D$11)+1)</f>
        <v>4.1000109985997328</v>
      </c>
      <c r="K198" s="142">
        <v>211497</v>
      </c>
      <c r="L198" s="142">
        <v>57510</v>
      </c>
      <c r="M198" s="141" t="s">
        <v>1347</v>
      </c>
    </row>
    <row r="199" spans="1:13" ht="12.3">
      <c r="A199" s="153">
        <v>42987</v>
      </c>
      <c r="B199" s="137" t="s">
        <v>726</v>
      </c>
      <c r="C199" s="137" t="s">
        <v>1346</v>
      </c>
      <c r="D199" s="137">
        <v>2.1</v>
      </c>
      <c r="E199" s="137"/>
      <c r="F199" s="137" t="s">
        <v>684</v>
      </c>
      <c r="G199" s="136">
        <v>0</v>
      </c>
      <c r="H199" s="135">
        <v>0</v>
      </c>
      <c r="I199" s="134">
        <v>0</v>
      </c>
      <c r="J199" s="157">
        <f>LOG(G199+([4]Values!$D$8*H199)+([4]Values!$D$9*I199)+(K199*[4]Values!$D$10)+(L199*[4]Values!$D$11)+1)</f>
        <v>6.3898622955835843E-2</v>
      </c>
      <c r="K199" s="133">
        <v>17</v>
      </c>
      <c r="L199" s="160">
        <v>0</v>
      </c>
      <c r="M199" s="132" t="s">
        <v>23</v>
      </c>
    </row>
    <row r="200" spans="1:13" ht="12.3">
      <c r="A200" s="153">
        <v>42989</v>
      </c>
      <c r="B200" s="137" t="s">
        <v>156</v>
      </c>
      <c r="C200" s="137" t="s">
        <v>541</v>
      </c>
      <c r="D200" s="137">
        <v>4.8</v>
      </c>
      <c r="E200" s="137"/>
      <c r="F200" s="137"/>
      <c r="G200" s="136">
        <v>0</v>
      </c>
      <c r="H200" s="135">
        <v>0</v>
      </c>
      <c r="I200" s="134">
        <v>0</v>
      </c>
      <c r="J200" s="157">
        <f>LOG(G200+([4]Values!$D$8*H200)+([4]Values!$D$9*I200)+(K200*[4]Values!$D$10)+(L200*[4]Values!$D$11)+1)</f>
        <v>4.030572192620571E-3</v>
      </c>
      <c r="K200" s="133">
        <v>1</v>
      </c>
      <c r="L200" s="160">
        <v>0</v>
      </c>
      <c r="M200" s="132" t="s">
        <v>23</v>
      </c>
    </row>
    <row r="201" spans="1:13" ht="12.3">
      <c r="A201" s="153">
        <v>42990</v>
      </c>
      <c r="B201" s="137" t="s">
        <v>83</v>
      </c>
      <c r="C201" s="137" t="s">
        <v>150</v>
      </c>
      <c r="D201" s="137">
        <v>4.4000000000000004</v>
      </c>
      <c r="E201" s="137">
        <v>12</v>
      </c>
      <c r="F201" s="137"/>
      <c r="G201" s="136">
        <v>0</v>
      </c>
      <c r="H201" s="135">
        <v>0</v>
      </c>
      <c r="I201" s="134">
        <v>16</v>
      </c>
      <c r="J201" s="157">
        <f>LOG(G201+([4]Values!$D$8*H201)+([4]Values!$D$9*I201)+(K201*[4]Values!$D$10)+(L201*[4]Values!$D$11)+1)</f>
        <v>0.2586209667232689</v>
      </c>
      <c r="K201" s="133">
        <v>55</v>
      </c>
      <c r="L201" s="160">
        <v>0</v>
      </c>
      <c r="M201" s="132" t="s">
        <v>23</v>
      </c>
    </row>
    <row r="202" spans="1:13" ht="12.3">
      <c r="A202" s="153">
        <v>42992</v>
      </c>
      <c r="B202" s="137" t="s">
        <v>72</v>
      </c>
      <c r="C202" s="137" t="s">
        <v>1345</v>
      </c>
      <c r="D202" s="137">
        <v>4.8</v>
      </c>
      <c r="E202" s="137">
        <v>40</v>
      </c>
      <c r="F202" s="137" t="s">
        <v>684</v>
      </c>
      <c r="G202" s="136">
        <v>0</v>
      </c>
      <c r="H202" s="135">
        <v>1</v>
      </c>
      <c r="I202" s="134">
        <v>0</v>
      </c>
      <c r="J202" s="157">
        <f>LOG(G202+([4]Values!$D$8*H202)+([4]Values!$D$9*I202)+(K202*[4]Values!$D$10)+(L202*[4]Values!$D$11)+1)</f>
        <v>0.16194363939773301</v>
      </c>
      <c r="K202" s="133">
        <v>21</v>
      </c>
      <c r="L202" s="160">
        <v>0</v>
      </c>
      <c r="M202" s="132" t="s">
        <v>23</v>
      </c>
    </row>
    <row r="203" spans="1:13" ht="12.3">
      <c r="A203" s="153">
        <v>42994</v>
      </c>
      <c r="B203" s="137" t="s">
        <v>83</v>
      </c>
      <c r="C203" s="137" t="s">
        <v>84</v>
      </c>
      <c r="D203" s="150">
        <v>5.7</v>
      </c>
      <c r="E203" s="137">
        <v>6</v>
      </c>
      <c r="F203" s="137"/>
      <c r="G203" s="136">
        <v>0</v>
      </c>
      <c r="H203" s="135">
        <v>0</v>
      </c>
      <c r="I203" s="134">
        <v>0</v>
      </c>
      <c r="J203" s="157">
        <f>LOG(G203+([4]Values!$D$8*H203)+([4]Values!$D$9*I203)+(K203*[4]Values!$D$10)+(L203*[4]Values!$D$11)+1)</f>
        <v>0.17978623125673518</v>
      </c>
      <c r="K203" s="133">
        <v>55</v>
      </c>
      <c r="L203" s="160">
        <v>0</v>
      </c>
      <c r="M203" s="132" t="s">
        <v>23</v>
      </c>
    </row>
    <row r="204" spans="1:13" ht="12.3">
      <c r="A204" s="153">
        <v>42996</v>
      </c>
      <c r="B204" s="137" t="s">
        <v>317</v>
      </c>
      <c r="C204" s="137" t="s">
        <v>1344</v>
      </c>
      <c r="D204" s="137">
        <v>3.5</v>
      </c>
      <c r="E204" s="137"/>
      <c r="F204" s="137"/>
      <c r="G204" s="136">
        <v>0</v>
      </c>
      <c r="H204" s="135">
        <v>0</v>
      </c>
      <c r="I204" s="134">
        <v>0</v>
      </c>
      <c r="J204" s="157">
        <f>LOG(G204+([4]Values!$D$8*H204)+([4]Values!$D$9*I204)+(K204*[4]Values!$D$10)+(L204*[4]Values!$D$11)+1)</f>
        <v>5.6851142226527845E-2</v>
      </c>
      <c r="K204" s="133">
        <v>15</v>
      </c>
      <c r="L204" s="160"/>
      <c r="M204" s="132" t="s">
        <v>23</v>
      </c>
    </row>
    <row r="205" spans="1:13" ht="12.3">
      <c r="A205" s="155">
        <v>42997</v>
      </c>
      <c r="B205" s="145" t="s">
        <v>33</v>
      </c>
      <c r="C205" s="145" t="s">
        <v>1194</v>
      </c>
      <c r="D205" s="145">
        <v>7.1</v>
      </c>
      <c r="E205" s="145">
        <v>51</v>
      </c>
      <c r="F205" s="145" t="s">
        <v>363</v>
      </c>
      <c r="G205" s="136">
        <v>369</v>
      </c>
      <c r="H205" s="135">
        <v>7289</v>
      </c>
      <c r="I205" s="144">
        <v>193546</v>
      </c>
      <c r="J205" s="157">
        <f>LOG(G205+([4]Values!$D$8*H205)+([4]Values!$D$9*I205)+(K205*[4]Values!$D$10)+(L205*[4]Values!$D$11)+1)</f>
        <v>3.8446894169881949</v>
      </c>
      <c r="K205" s="142">
        <v>54473</v>
      </c>
      <c r="L205" s="142">
        <v>19261</v>
      </c>
      <c r="M205" s="141" t="s">
        <v>23</v>
      </c>
    </row>
    <row r="206" spans="1:13" ht="12.3">
      <c r="A206" s="155">
        <v>43001</v>
      </c>
      <c r="B206" s="145" t="s">
        <v>33</v>
      </c>
      <c r="C206" s="145" t="s">
        <v>34</v>
      </c>
      <c r="D206" s="145">
        <v>6.1</v>
      </c>
      <c r="E206" s="145">
        <v>9</v>
      </c>
      <c r="F206" s="145" t="s">
        <v>123</v>
      </c>
      <c r="G206" s="136">
        <v>4</v>
      </c>
      <c r="H206" s="135">
        <v>7</v>
      </c>
      <c r="I206" s="144">
        <v>0</v>
      </c>
      <c r="J206" s="157"/>
      <c r="K206" s="142">
        <v>3</v>
      </c>
      <c r="L206" s="142">
        <v>12</v>
      </c>
      <c r="M206" s="141" t="s">
        <v>23</v>
      </c>
    </row>
    <row r="207" spans="1:13" ht="12.3">
      <c r="A207" s="153">
        <v>43001</v>
      </c>
      <c r="B207" s="137" t="s">
        <v>62</v>
      </c>
      <c r="C207" s="137" t="s">
        <v>996</v>
      </c>
      <c r="D207" s="137">
        <v>5.4</v>
      </c>
      <c r="E207" s="137">
        <v>4</v>
      </c>
      <c r="F207" s="137" t="s">
        <v>35</v>
      </c>
      <c r="G207" s="136">
        <v>0</v>
      </c>
      <c r="H207" s="135">
        <v>11</v>
      </c>
      <c r="I207" s="134">
        <v>8809</v>
      </c>
      <c r="J207" s="157">
        <f>LOG(G207+([4]Values!$D$8*H207)+([4]Values!$D$9*I207)+(K207*[4]Values!$D$10)+(L207*[4]Values!$D$11)+1)</f>
        <v>2.2735300783873589</v>
      </c>
      <c r="K207" s="133">
        <v>1735</v>
      </c>
      <c r="L207" s="133">
        <v>62</v>
      </c>
      <c r="M207" s="149" t="s">
        <v>23</v>
      </c>
    </row>
    <row r="208" spans="1:13" ht="12.3">
      <c r="A208" s="153" t="s">
        <v>1328</v>
      </c>
      <c r="B208" s="137" t="s">
        <v>44</v>
      </c>
      <c r="C208" s="137" t="s">
        <v>1343</v>
      </c>
      <c r="D208" s="137">
        <v>4.9000000000000004</v>
      </c>
      <c r="E208" s="137">
        <v>5</v>
      </c>
      <c r="F208" s="137"/>
      <c r="G208" s="136">
        <v>0</v>
      </c>
      <c r="H208" s="135">
        <v>2</v>
      </c>
      <c r="I208" s="134">
        <v>10165</v>
      </c>
      <c r="J208" s="157">
        <f>LOG(G208+([4]Values!$D$8*H208)+([4]Values!$D$9*I208)+(K208*[4]Values!$D$10)+(L208*[4]Values!$D$11)+1)</f>
        <v>2.3240334351894112</v>
      </c>
      <c r="K208" s="133">
        <v>1448</v>
      </c>
      <c r="L208" s="133">
        <v>145</v>
      </c>
      <c r="M208" s="149" t="s">
        <v>23</v>
      </c>
    </row>
    <row r="209" spans="1:13" ht="12.3">
      <c r="A209" s="153">
        <v>43008</v>
      </c>
      <c r="B209" s="137" t="s">
        <v>83</v>
      </c>
      <c r="C209" s="137" t="s">
        <v>150</v>
      </c>
      <c r="D209" s="137">
        <v>5.4</v>
      </c>
      <c r="E209" s="137">
        <v>13</v>
      </c>
      <c r="F209" s="137"/>
      <c r="G209" s="136">
        <v>0</v>
      </c>
      <c r="H209" s="135">
        <v>3</v>
      </c>
      <c r="I209" s="134">
        <v>42</v>
      </c>
      <c r="J209" s="157">
        <f>LOG(G209+([4]Values!$D$8*H209)+([4]Values!$D$9*I209)+(K209*[4]Values!$D$10)+(L209*[4]Values!$D$11)+1)</f>
        <v>0.40803458237535856</v>
      </c>
      <c r="K209" s="133"/>
      <c r="L209" s="133"/>
      <c r="M209" s="149" t="s">
        <v>23</v>
      </c>
    </row>
    <row r="210" spans="1:13" ht="12.3">
      <c r="A210" s="159" t="s">
        <v>1342</v>
      </c>
      <c r="B210" s="145" t="s">
        <v>33</v>
      </c>
      <c r="C210" s="145" t="s">
        <v>1341</v>
      </c>
      <c r="D210" s="145" t="s">
        <v>1340</v>
      </c>
      <c r="E210" s="145"/>
      <c r="F210" s="145"/>
      <c r="G210" s="136" t="s">
        <v>1339</v>
      </c>
      <c r="H210" s="144" t="s">
        <v>1338</v>
      </c>
      <c r="I210" s="158" t="s">
        <v>1337</v>
      </c>
      <c r="J210" s="143" t="e">
        <f>LOG(G210+([4]Values!$D$8*H210)+([4]Values!$D$9*I210)+(K210*[4]Values!$D$10)+(L210*[4]Values!$D$11)+1)</f>
        <v>#VALUE!</v>
      </c>
      <c r="K210" s="142" t="s">
        <v>1336</v>
      </c>
      <c r="L210" s="142" t="s">
        <v>1335</v>
      </c>
      <c r="M210" s="141"/>
    </row>
    <row r="211" spans="1:13" ht="12.3">
      <c r="A211" s="153">
        <v>43009</v>
      </c>
      <c r="B211" s="137" t="s">
        <v>378</v>
      </c>
      <c r="C211" s="137" t="s">
        <v>1237</v>
      </c>
      <c r="D211" s="150">
        <v>5.7</v>
      </c>
      <c r="E211" s="137">
        <v>128</v>
      </c>
      <c r="F211" s="137"/>
      <c r="G211" s="136">
        <v>0</v>
      </c>
      <c r="H211" s="135"/>
      <c r="I211" s="134"/>
      <c r="J211" s="157">
        <f>LOG(G211+([4]Values!$D$8*H211)+([4]Values!$D$9*I211)+(K211*[4]Values!$D$10)+(L211*[4]Values!$D$11)+1)</f>
        <v>2.7458695807798424E-2</v>
      </c>
      <c r="K211" s="133">
        <v>7</v>
      </c>
      <c r="L211" s="133"/>
      <c r="M211" s="149" t="s">
        <v>23</v>
      </c>
    </row>
    <row r="212" spans="1:13" ht="12.3">
      <c r="A212" s="153">
        <v>43015</v>
      </c>
      <c r="B212" s="137" t="s">
        <v>44</v>
      </c>
      <c r="C212" s="137" t="s">
        <v>1327</v>
      </c>
      <c r="D212" s="150"/>
      <c r="E212" s="137"/>
      <c r="F212" s="137"/>
      <c r="G212" s="136">
        <v>0</v>
      </c>
      <c r="H212" s="135">
        <v>0</v>
      </c>
      <c r="I212" s="134">
        <v>20</v>
      </c>
      <c r="J212" s="157">
        <f>LOG(G212+([4]Values!$D$8*H212)+([4]Values!$D$9*I212)+(K212*[4]Values!$D$10)+(L212*[4]Values!$D$11)+1)</f>
        <v>0.18969372244380489</v>
      </c>
      <c r="K212" s="133">
        <v>15</v>
      </c>
      <c r="L212" s="133">
        <v>1</v>
      </c>
      <c r="M212" s="149" t="s">
        <v>23</v>
      </c>
    </row>
    <row r="213" spans="1:13" ht="12.3">
      <c r="A213" s="153">
        <v>43016</v>
      </c>
      <c r="B213" s="137" t="s">
        <v>33</v>
      </c>
      <c r="C213" s="137" t="s">
        <v>34</v>
      </c>
      <c r="D213" s="137">
        <v>4.7</v>
      </c>
      <c r="E213" s="137"/>
      <c r="F213" s="137"/>
      <c r="G213" s="136">
        <v>0</v>
      </c>
      <c r="H213" s="135">
        <v>0</v>
      </c>
      <c r="I213" s="134">
        <v>0</v>
      </c>
      <c r="J213" s="157">
        <f>LOG(G213+([4]Values!$D$8*H213)+([4]Values!$D$9*I213)+(K213*[4]Values!$D$10)+(L213*[4]Values!$D$11)+1)</f>
        <v>8.0240814190273343E-3</v>
      </c>
      <c r="K213" s="133">
        <v>2</v>
      </c>
      <c r="L213" s="133">
        <v>0</v>
      </c>
      <c r="M213" s="149" t="s">
        <v>23</v>
      </c>
    </row>
    <row r="214" spans="1:13" ht="12.3">
      <c r="A214" s="153">
        <v>43016</v>
      </c>
      <c r="B214" s="137" t="s">
        <v>33</v>
      </c>
      <c r="C214" s="137" t="s">
        <v>1290</v>
      </c>
      <c r="D214" s="137">
        <v>4.2</v>
      </c>
      <c r="E214" s="137">
        <v>5</v>
      </c>
      <c r="F214" s="137"/>
      <c r="G214" s="136">
        <v>0</v>
      </c>
      <c r="H214" s="135">
        <v>0</v>
      </c>
      <c r="I214" s="134">
        <v>0</v>
      </c>
      <c r="J214" s="157">
        <f>LOG(G214+([4]Values!$D$8*H214)+([4]Values!$D$9*I214)+(K214*[4]Values!$D$10)+(L214*[4]Values!$D$11)+1)</f>
        <v>1.1981203095237175E-2</v>
      </c>
      <c r="K214" s="133">
        <v>3</v>
      </c>
      <c r="L214" s="133"/>
      <c r="M214" s="149"/>
    </row>
    <row r="215" spans="1:13" ht="12.3">
      <c r="A215" s="153">
        <v>43018</v>
      </c>
      <c r="B215" s="137" t="s">
        <v>44</v>
      </c>
      <c r="C215" s="137" t="s">
        <v>1253</v>
      </c>
      <c r="D215" s="137">
        <v>4.9000000000000004</v>
      </c>
      <c r="E215" s="137"/>
      <c r="F215" s="137"/>
      <c r="G215" s="136">
        <v>0</v>
      </c>
      <c r="H215" s="135">
        <v>0</v>
      </c>
      <c r="I215" s="134">
        <v>874</v>
      </c>
      <c r="J215" s="157">
        <f>LOG(G215+([4]Values!$D$8*H215)+([4]Values!$D$9*I215)+(K215*[4]Values!$D$10)+(L215*[4]Values!$D$11)+1)</f>
        <v>1.2933405531318598</v>
      </c>
      <c r="K215" s="133">
        <v>101</v>
      </c>
      <c r="L215" s="133">
        <v>40</v>
      </c>
      <c r="M215" s="149" t="s">
        <v>23</v>
      </c>
    </row>
    <row r="216" spans="1:13" ht="12.3">
      <c r="A216" s="153">
        <v>43018</v>
      </c>
      <c r="B216" s="137" t="s">
        <v>359</v>
      </c>
      <c r="C216" s="137" t="s">
        <v>1334</v>
      </c>
      <c r="D216" s="150">
        <v>6.3</v>
      </c>
      <c r="E216" s="137">
        <v>99</v>
      </c>
      <c r="F216" s="137" t="s">
        <v>123</v>
      </c>
      <c r="G216" s="136">
        <v>0</v>
      </c>
      <c r="H216" s="135">
        <v>7</v>
      </c>
      <c r="I216" s="134"/>
      <c r="J216" s="157">
        <f>LOG(G216+([4]Values!$D$8*H216)+([4]Values!$D$9*I216)+(K216*[4]Values!$D$10)+(L216*[4]Values!$D$11)+1)</f>
        <v>0.44893680526062657</v>
      </c>
      <c r="K216" s="133">
        <v>2</v>
      </c>
      <c r="L216" s="133"/>
      <c r="M216" s="149" t="s">
        <v>23</v>
      </c>
    </row>
    <row r="217" spans="1:13" ht="12.3">
      <c r="A217" s="153">
        <v>43022</v>
      </c>
      <c r="B217" s="137" t="s">
        <v>24</v>
      </c>
      <c r="C217" s="137" t="s">
        <v>126</v>
      </c>
      <c r="D217" s="150"/>
      <c r="E217" s="137"/>
      <c r="F217" s="137"/>
      <c r="G217" s="136">
        <v>0</v>
      </c>
      <c r="H217" s="135">
        <v>0</v>
      </c>
      <c r="I217" s="134">
        <v>0</v>
      </c>
      <c r="J217" s="157">
        <f>LOG(G217+([4]Values!$D$8*H217)+([4]Values!$D$9*I217)+(K217*[4]Values!$D$10)+(L217*[4]Values!$D$11)+1)</f>
        <v>5.6851142226527845E-2</v>
      </c>
      <c r="K217" s="133">
        <v>15</v>
      </c>
      <c r="L217" s="133">
        <v>0</v>
      </c>
      <c r="M217" s="149" t="s">
        <v>23</v>
      </c>
    </row>
    <row r="218" spans="1:13" ht="12.3">
      <c r="A218" s="153">
        <v>43023</v>
      </c>
      <c r="B218" s="137" t="s">
        <v>512</v>
      </c>
      <c r="C218" s="137" t="s">
        <v>1333</v>
      </c>
      <c r="D218" s="137">
        <v>3.6</v>
      </c>
      <c r="E218" s="137">
        <v>6</v>
      </c>
      <c r="F218" s="137"/>
      <c r="G218" s="136">
        <v>0</v>
      </c>
      <c r="H218" s="135">
        <v>0</v>
      </c>
      <c r="I218" s="134">
        <v>0</v>
      </c>
      <c r="J218" s="157">
        <f>LOG(G218+([4]Values!$D$8*H218)+([4]Values!$D$9*I218)+(K218*[4]Values!$D$10)+(L218*[4]Values!$D$11)+1)</f>
        <v>4.030572192620571E-3</v>
      </c>
      <c r="K218" s="133">
        <v>1</v>
      </c>
      <c r="L218" s="133">
        <v>0</v>
      </c>
      <c r="M218" s="149" t="s">
        <v>23</v>
      </c>
    </row>
    <row r="219" spans="1:13" ht="12.3">
      <c r="A219" s="153">
        <v>43024</v>
      </c>
      <c r="B219" s="137" t="s">
        <v>44</v>
      </c>
      <c r="C219" s="137" t="s">
        <v>1308</v>
      </c>
      <c r="D219" s="137">
        <v>3.3</v>
      </c>
      <c r="E219" s="137">
        <v>1</v>
      </c>
      <c r="F219" s="137" t="s">
        <v>134</v>
      </c>
      <c r="G219" s="136">
        <v>0</v>
      </c>
      <c r="H219" s="135">
        <v>0</v>
      </c>
      <c r="I219" s="134">
        <v>10</v>
      </c>
      <c r="J219" s="157">
        <f>LOG(G219+([4]Values!$D$8*H219)+([4]Values!$D$9*I219)+(K219*[4]Values!$D$10)+(L219*[4]Values!$D$11)+1)</f>
        <v>0.12015662091108564</v>
      </c>
      <c r="K219" s="133">
        <v>14</v>
      </c>
      <c r="L219" s="133"/>
      <c r="M219" s="149" t="s">
        <v>23</v>
      </c>
    </row>
    <row r="220" spans="1:13" ht="12.3">
      <c r="A220" s="153">
        <v>43025</v>
      </c>
      <c r="B220" s="137" t="s">
        <v>44</v>
      </c>
      <c r="C220" s="137" t="s">
        <v>1332</v>
      </c>
      <c r="D220" s="137">
        <v>3.1</v>
      </c>
      <c r="E220" s="137">
        <v>10</v>
      </c>
      <c r="F220" s="137"/>
      <c r="G220" s="136">
        <v>0</v>
      </c>
      <c r="H220" s="135">
        <v>0</v>
      </c>
      <c r="I220" s="134">
        <v>2</v>
      </c>
      <c r="J220" s="157">
        <f>LOG(G220+([4]Values!$D$8*H220)+([4]Values!$D$9*I220)+(K220*[4]Values!$D$10)+(L220*[4]Values!$D$11)+1)</f>
        <v>4.0239350015448185E-2</v>
      </c>
      <c r="K220" s="133">
        <v>3</v>
      </c>
      <c r="L220" s="133">
        <v>1</v>
      </c>
      <c r="M220" s="149" t="s">
        <v>23</v>
      </c>
    </row>
    <row r="221" spans="1:13" ht="12.3">
      <c r="A221" s="153">
        <v>43025</v>
      </c>
      <c r="B221" s="137" t="s">
        <v>17</v>
      </c>
      <c r="C221" s="137" t="s">
        <v>1331</v>
      </c>
      <c r="D221" s="137">
        <v>4.7</v>
      </c>
      <c r="E221" s="137"/>
      <c r="F221" s="137"/>
      <c r="G221" s="136">
        <v>0</v>
      </c>
      <c r="H221" s="135">
        <v>0</v>
      </c>
      <c r="I221" s="134">
        <v>0</v>
      </c>
      <c r="J221" s="157">
        <f>LOG(G221+([4]Values!$D$8*H221)+([4]Values!$D$9*I221)+(K221*[4]Values!$D$10)+(L221*[4]Values!$D$11)+1)</f>
        <v>9.0997725520269523E-2</v>
      </c>
      <c r="K221" s="133">
        <v>25</v>
      </c>
      <c r="L221" s="133">
        <v>0</v>
      </c>
      <c r="M221" s="149" t="s">
        <v>23</v>
      </c>
    </row>
    <row r="222" spans="1:13" ht="12.3">
      <c r="A222" s="153">
        <v>43026</v>
      </c>
      <c r="B222" s="137" t="s">
        <v>17</v>
      </c>
      <c r="C222" s="137" t="s">
        <v>768</v>
      </c>
      <c r="D222" s="137">
        <v>4.3</v>
      </c>
      <c r="E222" s="137"/>
      <c r="F222" s="137"/>
      <c r="G222" s="136">
        <v>0</v>
      </c>
      <c r="H222" s="135">
        <v>0</v>
      </c>
      <c r="I222" s="134">
        <v>0</v>
      </c>
      <c r="J222" s="157">
        <f>LOG(G222+([4]Values!$D$8*H222)+([4]Values!$D$9*I222)+(K222*[4]Values!$D$10)+(L222*[4]Values!$D$11)+1)</f>
        <v>7.4259946119613868E-2</v>
      </c>
      <c r="K222" s="133">
        <v>20</v>
      </c>
      <c r="L222" s="133">
        <v>0</v>
      </c>
      <c r="M222" s="149" t="s">
        <v>23</v>
      </c>
    </row>
    <row r="223" spans="1:13" ht="12.3">
      <c r="A223" s="153">
        <v>43028</v>
      </c>
      <c r="B223" s="137" t="s">
        <v>44</v>
      </c>
      <c r="C223" s="137" t="s">
        <v>1308</v>
      </c>
      <c r="D223" s="137">
        <v>3.1</v>
      </c>
      <c r="E223" s="137">
        <v>1</v>
      </c>
      <c r="F223" s="137" t="s">
        <v>684</v>
      </c>
      <c r="G223" s="136">
        <v>0</v>
      </c>
      <c r="H223" s="135">
        <v>0</v>
      </c>
      <c r="I223" s="134">
        <v>0</v>
      </c>
      <c r="J223" s="157">
        <f>LOG(G223+([4]Values!$D$8*H223)+([4]Values!$D$9*I223)+(K223*[4]Values!$D$10)+(L223*[4]Values!$D$11)+1)</f>
        <v>1.5902594341210354E-2</v>
      </c>
      <c r="K223" s="133">
        <v>4</v>
      </c>
      <c r="L223" s="133">
        <v>0</v>
      </c>
      <c r="M223" s="149" t="s">
        <v>23</v>
      </c>
    </row>
    <row r="224" spans="1:13" ht="12.3">
      <c r="A224" s="153">
        <v>43029</v>
      </c>
      <c r="B224" s="137" t="s">
        <v>24</v>
      </c>
      <c r="C224" s="137" t="s">
        <v>1330</v>
      </c>
      <c r="D224" s="150"/>
      <c r="E224" s="137"/>
      <c r="F224" s="137"/>
      <c r="G224" s="136">
        <v>0</v>
      </c>
      <c r="H224" s="135">
        <v>0</v>
      </c>
      <c r="I224" s="134">
        <v>0</v>
      </c>
      <c r="J224" s="157">
        <f>LOG(G224+([4]Values!$D$8*H224)+([4]Values!$D$9*I224)+(K224*[4]Values!$D$10)+(L224*[4]Values!$D$11)+1)</f>
        <v>3.1243392933856463E-2</v>
      </c>
      <c r="K224" s="133">
        <v>8</v>
      </c>
      <c r="L224" s="133">
        <v>0</v>
      </c>
      <c r="M224" s="149" t="s">
        <v>23</v>
      </c>
    </row>
    <row r="225" spans="1:13" ht="12.3">
      <c r="A225" s="153">
        <v>43031</v>
      </c>
      <c r="B225" s="137" t="s">
        <v>17</v>
      </c>
      <c r="C225" s="137" t="s">
        <v>110</v>
      </c>
      <c r="D225" s="150">
        <v>5.5</v>
      </c>
      <c r="E225" s="137">
        <v>20</v>
      </c>
      <c r="F225" s="137"/>
      <c r="G225" s="136">
        <v>0</v>
      </c>
      <c r="H225" s="135">
        <v>0</v>
      </c>
      <c r="I225" s="134">
        <v>0</v>
      </c>
      <c r="J225" s="157">
        <f>LOG(G225+([4]Values!$D$8*H225)+([4]Values!$D$9*I225)+(K225*[4]Values!$D$10)+(L225*[4]Values!$D$11)+1)</f>
        <v>0.10711429567364679</v>
      </c>
      <c r="K225" s="133">
        <v>30</v>
      </c>
      <c r="L225" s="133">
        <v>0</v>
      </c>
      <c r="M225" s="149" t="s">
        <v>23</v>
      </c>
    </row>
    <row r="226" spans="1:13" ht="12.3">
      <c r="A226" s="153">
        <v>43031</v>
      </c>
      <c r="B226" s="137" t="s">
        <v>44</v>
      </c>
      <c r="C226" s="137" t="s">
        <v>1329</v>
      </c>
      <c r="D226" s="137">
        <v>4.5999999999999996</v>
      </c>
      <c r="E226" s="137">
        <v>30</v>
      </c>
      <c r="F226" s="137"/>
      <c r="G226" s="136">
        <v>0</v>
      </c>
      <c r="H226" s="135">
        <v>0</v>
      </c>
      <c r="I226" s="134">
        <v>0</v>
      </c>
      <c r="J226" s="157">
        <f>LOG(G226+([4]Values!$D$8*H226)+([4]Values!$D$9*I226)+(K226*[4]Values!$D$10)+(L226*[4]Values!$D$11)+1)</f>
        <v>4.030572192620571E-3</v>
      </c>
      <c r="K226" s="133">
        <v>1</v>
      </c>
      <c r="L226" s="133">
        <v>0</v>
      </c>
      <c r="M226" s="149" t="s">
        <v>23</v>
      </c>
    </row>
    <row r="227" spans="1:13" ht="12.3">
      <c r="A227" s="153" t="s">
        <v>1328</v>
      </c>
      <c r="B227" s="137" t="s">
        <v>44</v>
      </c>
      <c r="C227" s="137" t="s">
        <v>1327</v>
      </c>
      <c r="D227" s="150"/>
      <c r="E227" s="137"/>
      <c r="F227" s="137"/>
      <c r="G227" s="136">
        <v>0</v>
      </c>
      <c r="H227" s="135">
        <v>0</v>
      </c>
      <c r="I227" s="134">
        <v>0</v>
      </c>
      <c r="J227" s="157">
        <f>LOG(G227+([4]Values!$D$8*H227)+([4]Values!$D$9*I227)+(K227*[4]Values!$D$10)+(L227*[4]Values!$D$11)+1)</f>
        <v>0.33555655883177427</v>
      </c>
      <c r="K227" s="133">
        <v>125</v>
      </c>
      <c r="L227" s="133">
        <v>0</v>
      </c>
      <c r="M227" s="149" t="s">
        <v>23</v>
      </c>
    </row>
    <row r="228" spans="1:13" ht="12.3">
      <c r="A228" s="153">
        <v>43038</v>
      </c>
      <c r="B228" s="137" t="s">
        <v>33</v>
      </c>
      <c r="C228" s="137" t="s">
        <v>1290</v>
      </c>
      <c r="D228" s="138">
        <v>4</v>
      </c>
      <c r="E228" s="137"/>
      <c r="F228" s="137"/>
      <c r="G228" s="136">
        <v>0</v>
      </c>
      <c r="H228" s="135">
        <v>0</v>
      </c>
      <c r="I228" s="134">
        <v>0</v>
      </c>
      <c r="J228" s="157">
        <f>LOG(G228+([4]Values!$D$8*H228)+([4]Values!$D$9*I228)+(K228*[4]Values!$D$10)+(L228*[4]Values!$D$11)+1)</f>
        <v>8.0240814190273343E-3</v>
      </c>
      <c r="K228" s="133">
        <v>2</v>
      </c>
      <c r="L228" s="133">
        <v>0</v>
      </c>
      <c r="M228" s="149" t="s">
        <v>23</v>
      </c>
    </row>
    <row r="229" spans="1:13" ht="12.3">
      <c r="A229" s="153">
        <v>43039</v>
      </c>
      <c r="B229" s="137" t="s">
        <v>512</v>
      </c>
      <c r="C229" s="137" t="s">
        <v>1318</v>
      </c>
      <c r="D229" s="150">
        <v>6.8</v>
      </c>
      <c r="E229" s="137">
        <v>11</v>
      </c>
      <c r="F229" s="137" t="s">
        <v>134</v>
      </c>
      <c r="G229" s="136">
        <v>0</v>
      </c>
      <c r="H229" s="135">
        <v>0</v>
      </c>
      <c r="I229" s="134">
        <v>0</v>
      </c>
      <c r="J229" s="157">
        <f>LOG(G229+([4]Values!$D$8*H229)+([4]Values!$D$9*I229)+(K229*[4]Values!$D$10)+(L229*[4]Values!$D$11)+1)</f>
        <v>0</v>
      </c>
      <c r="K229" s="133">
        <v>0</v>
      </c>
      <c r="L229" s="133">
        <v>0</v>
      </c>
      <c r="M229" s="149" t="s">
        <v>1236</v>
      </c>
    </row>
    <row r="230" spans="1:13" ht="12.3">
      <c r="A230" s="155">
        <v>43039</v>
      </c>
      <c r="B230" s="145" t="s">
        <v>44</v>
      </c>
      <c r="C230" s="145" t="s">
        <v>1326</v>
      </c>
      <c r="D230" s="145">
        <v>6.1</v>
      </c>
      <c r="E230" s="145">
        <v>16</v>
      </c>
      <c r="F230" s="145" t="s">
        <v>123</v>
      </c>
      <c r="G230" s="136">
        <v>1</v>
      </c>
      <c r="H230" s="144">
        <v>5</v>
      </c>
      <c r="I230" s="144"/>
      <c r="J230" s="143">
        <f>LOG(G230+([4]Values!$D$8*H230)+([4]Values!$D$9*I230)+(K230*[4]Values!$D$10)+(L230*[4]Values!$D$11)+1)</f>
        <v>0.5704060547218871</v>
      </c>
      <c r="K230" s="142">
        <v>47</v>
      </c>
      <c r="L230" s="142"/>
      <c r="M230" s="141" t="s">
        <v>23</v>
      </c>
    </row>
    <row r="231" spans="1:13" ht="12.3">
      <c r="A231" s="153">
        <v>43040</v>
      </c>
      <c r="B231" s="137" t="s">
        <v>512</v>
      </c>
      <c r="C231" s="137" t="s">
        <v>1318</v>
      </c>
      <c r="D231" s="150">
        <v>6.6</v>
      </c>
      <c r="E231" s="137">
        <v>10</v>
      </c>
      <c r="F231" s="137" t="s">
        <v>134</v>
      </c>
      <c r="G231" s="136">
        <v>0</v>
      </c>
      <c r="H231" s="135">
        <v>0</v>
      </c>
      <c r="I231" s="134">
        <v>0</v>
      </c>
      <c r="J231" s="157">
        <f>LOG(G231+([4]Values!$D$8*H231)+([4]Values!$D$9*I231)+(K231*[4]Values!$D$10)+(L231*[4]Values!$D$11)+1)</f>
        <v>0</v>
      </c>
      <c r="K231" s="133">
        <v>0</v>
      </c>
      <c r="L231" s="133">
        <v>0</v>
      </c>
      <c r="M231" s="149" t="s">
        <v>1325</v>
      </c>
    </row>
    <row r="232" spans="1:13" ht="12.3">
      <c r="A232" s="153">
        <v>43042</v>
      </c>
      <c r="B232" s="137" t="s">
        <v>915</v>
      </c>
      <c r="C232" s="137" t="s">
        <v>916</v>
      </c>
      <c r="D232" s="137">
        <v>3.8</v>
      </c>
      <c r="E232" s="137">
        <v>11</v>
      </c>
      <c r="F232" s="137" t="s">
        <v>684</v>
      </c>
      <c r="G232" s="136">
        <v>0</v>
      </c>
      <c r="H232" s="135">
        <v>0</v>
      </c>
      <c r="I232" s="134">
        <v>0</v>
      </c>
      <c r="J232" s="157">
        <f>LOG(G232+([4]Values!$D$8*H232)+([4]Values!$D$9*I232)+(K232*[4]Values!$D$10)+(L232*[4]Values!$D$11)+1)</f>
        <v>0.16619225265371032</v>
      </c>
      <c r="K232" s="133">
        <v>50</v>
      </c>
      <c r="L232" s="133">
        <v>0</v>
      </c>
      <c r="M232" s="149" t="s">
        <v>23</v>
      </c>
    </row>
    <row r="233" spans="1:13" ht="12.3">
      <c r="A233" s="153">
        <v>43047</v>
      </c>
      <c r="B233" s="137" t="s">
        <v>44</v>
      </c>
      <c r="C233" s="137" t="s">
        <v>983</v>
      </c>
      <c r="D233" s="138">
        <v>5</v>
      </c>
      <c r="E233" s="137"/>
      <c r="F233" s="137" t="s">
        <v>365</v>
      </c>
      <c r="G233" s="136">
        <v>0</v>
      </c>
      <c r="H233" s="135">
        <v>1</v>
      </c>
      <c r="I233" s="134"/>
      <c r="J233" s="157">
        <f>LOG(G233+([4]Values!$D$8*H233)+([4]Values!$D$9*I233)+(K233*[4]Values!$D$10)+(L233*[4]Values!$D$11)+1)</f>
        <v>0.14487906305953951</v>
      </c>
      <c r="K233" s="133">
        <v>15</v>
      </c>
      <c r="L233" s="133"/>
      <c r="M233" s="149" t="s">
        <v>23</v>
      </c>
    </row>
    <row r="234" spans="1:13" ht="12.3">
      <c r="A234" s="153">
        <v>43049</v>
      </c>
      <c r="B234" s="137" t="s">
        <v>67</v>
      </c>
      <c r="C234" s="137" t="s">
        <v>329</v>
      </c>
      <c r="D234" s="137">
        <v>4.3</v>
      </c>
      <c r="E234" s="137">
        <v>1</v>
      </c>
      <c r="F234" s="137"/>
      <c r="G234" s="136">
        <v>0</v>
      </c>
      <c r="H234" s="135">
        <v>1</v>
      </c>
      <c r="I234" s="134"/>
      <c r="J234" s="157">
        <f>LOG(G234+([4]Values!$D$8*H234)+([4]Values!$D$9*I234)+(K234*[4]Values!$D$10)+(L234*[4]Values!$D$11)+1)</f>
        <v>9.9031319540078808E-2</v>
      </c>
      <c r="K234" s="133">
        <v>0</v>
      </c>
      <c r="L234" s="133">
        <v>0</v>
      </c>
      <c r="M234" s="149" t="s">
        <v>23</v>
      </c>
    </row>
    <row r="235" spans="1:13" ht="12.3">
      <c r="A235" s="153">
        <v>43049</v>
      </c>
      <c r="B235" s="137" t="s">
        <v>915</v>
      </c>
      <c r="C235" s="137" t="s">
        <v>1324</v>
      </c>
      <c r="D235" s="137">
        <v>3.7</v>
      </c>
      <c r="E235" s="137"/>
      <c r="F235" s="137"/>
      <c r="G235" s="136">
        <v>0</v>
      </c>
      <c r="H235" s="135">
        <v>0</v>
      </c>
      <c r="I235" s="134">
        <v>0</v>
      </c>
      <c r="J235" s="157">
        <f>LOG(G235+([4]Values!$D$8*H235)+([4]Values!$D$9*I235)+(K235*[4]Values!$D$10)+(L235*[4]Values!$D$11)+1)</f>
        <v>7.4259946119613868E-2</v>
      </c>
      <c r="K235" s="133">
        <v>20</v>
      </c>
      <c r="L235" s="133">
        <v>0</v>
      </c>
      <c r="M235" s="149" t="s">
        <v>23</v>
      </c>
    </row>
    <row r="236" spans="1:13" ht="12.3">
      <c r="A236" s="153">
        <v>43050</v>
      </c>
      <c r="B236" s="137" t="s">
        <v>76</v>
      </c>
      <c r="C236" s="137" t="s">
        <v>1323</v>
      </c>
      <c r="D236" s="138">
        <v>5</v>
      </c>
      <c r="E236" s="137"/>
      <c r="F236" s="137"/>
      <c r="G236" s="136">
        <v>0</v>
      </c>
      <c r="H236" s="135">
        <v>0</v>
      </c>
      <c r="I236" s="134"/>
      <c r="J236" s="157">
        <f>LOG(G236+([4]Values!$D$8*H236)+([4]Values!$D$9*I236)+(K236*[4]Values!$D$10)+(L236*[4]Values!$D$11)+1)</f>
        <v>6.3467389002626301E-2</v>
      </c>
      <c r="K236" s="133"/>
      <c r="L236" s="133">
        <v>5</v>
      </c>
      <c r="M236" s="149" t="s">
        <v>23</v>
      </c>
    </row>
    <row r="237" spans="1:13" ht="12.3">
      <c r="A237" s="155">
        <v>43051</v>
      </c>
      <c r="B237" s="145" t="s">
        <v>17</v>
      </c>
      <c r="C237" s="145" t="s">
        <v>1090</v>
      </c>
      <c r="D237" s="145">
        <v>7.3</v>
      </c>
      <c r="E237" s="145">
        <v>23</v>
      </c>
      <c r="F237" s="145" t="s">
        <v>363</v>
      </c>
      <c r="G237" s="136">
        <v>629</v>
      </c>
      <c r="H237" s="144">
        <f>14695+554</f>
        <v>15249</v>
      </c>
      <c r="I237" s="156">
        <v>840000</v>
      </c>
      <c r="J237" s="143">
        <f>LOG(G237+([4]Values!$D$8*H237)+([4]Values!$D$9*I237)+(K237*[4]Values!$D$10)+(L237*[4]Values!$D$11)+1)</f>
        <v>4.3341374801134149</v>
      </c>
      <c r="K237" s="142">
        <v>79000</v>
      </c>
      <c r="L237" s="142">
        <v>16000</v>
      </c>
      <c r="M237" s="141" t="s">
        <v>23</v>
      </c>
    </row>
    <row r="238" spans="1:13" ht="12.3">
      <c r="A238" s="155">
        <v>43052</v>
      </c>
      <c r="B238" s="145" t="s">
        <v>241</v>
      </c>
      <c r="C238" s="145" t="s">
        <v>242</v>
      </c>
      <c r="D238" s="145">
        <v>6.5</v>
      </c>
      <c r="E238" s="145">
        <v>20</v>
      </c>
      <c r="F238" s="145" t="s">
        <v>35</v>
      </c>
      <c r="G238" s="136">
        <v>3</v>
      </c>
      <c r="H238" s="135"/>
      <c r="I238" s="144"/>
      <c r="J238" s="143">
        <f>LOG(G238+([4]Values!$D$8*H238)+([4]Values!$D$9*I238)+(K238*[4]Values!$D$10)+(L238*[4]Values!$D$11)+1)</f>
        <v>0.60946283805312429</v>
      </c>
      <c r="K238" s="142">
        <v>4</v>
      </c>
      <c r="L238" s="142">
        <v>1</v>
      </c>
      <c r="M238" s="141" t="s">
        <v>23</v>
      </c>
    </row>
    <row r="239" spans="1:13" ht="12.3">
      <c r="A239" s="153">
        <v>43054</v>
      </c>
      <c r="B239" s="137" t="s">
        <v>1122</v>
      </c>
      <c r="C239" s="137" t="s">
        <v>1322</v>
      </c>
      <c r="D239" s="137">
        <v>5.4</v>
      </c>
      <c r="E239" s="137">
        <v>10</v>
      </c>
      <c r="F239" s="137"/>
      <c r="G239" s="136">
        <v>0</v>
      </c>
      <c r="H239" s="135">
        <v>82</v>
      </c>
      <c r="I239" s="134">
        <v>1124</v>
      </c>
      <c r="J239" s="131">
        <f>LOG(G239+([4]Values!$D$8*H239)+([4]Values!$D$9*I239)+(K239*[4]Values!$D$10)+(L239*[4]Values!$D$11)+1)</f>
        <v>1.8830397694102035</v>
      </c>
      <c r="K239" s="133">
        <v>3389</v>
      </c>
      <c r="L239" s="133">
        <v>52</v>
      </c>
      <c r="M239" s="149" t="s">
        <v>23</v>
      </c>
    </row>
    <row r="240" spans="1:13" ht="12.3">
      <c r="A240" s="153">
        <v>43054</v>
      </c>
      <c r="B240" s="137" t="s">
        <v>419</v>
      </c>
      <c r="C240" s="137" t="s">
        <v>1321</v>
      </c>
      <c r="D240" s="137">
        <v>5.2</v>
      </c>
      <c r="E240" s="137">
        <v>30</v>
      </c>
      <c r="F240" s="137" t="s">
        <v>35</v>
      </c>
      <c r="G240" s="136">
        <v>0</v>
      </c>
      <c r="H240" s="135">
        <v>7</v>
      </c>
      <c r="I240" s="134">
        <v>20</v>
      </c>
      <c r="J240" s="131">
        <f>LOG(G240+([4]Values!$D$8*H240)+([4]Values!$D$9*I240)+(K240*[4]Values!$D$10)+(L240*[4]Values!$D$11)+1)</f>
        <v>0.76087212124811787</v>
      </c>
      <c r="K240" s="133">
        <v>265</v>
      </c>
      <c r="L240" s="133">
        <v>4</v>
      </c>
      <c r="M240" s="149" t="s">
        <v>23</v>
      </c>
    </row>
    <row r="241" spans="1:13" ht="12.3">
      <c r="A241" s="153">
        <v>43056</v>
      </c>
      <c r="B241" s="137" t="s">
        <v>419</v>
      </c>
      <c r="C241" s="137" t="s">
        <v>1321</v>
      </c>
      <c r="D241" s="137">
        <v>4.7</v>
      </c>
      <c r="E241" s="137">
        <v>25</v>
      </c>
      <c r="F241" s="137" t="s">
        <v>684</v>
      </c>
      <c r="G241" s="136">
        <v>0</v>
      </c>
      <c r="H241" s="135">
        <v>0</v>
      </c>
      <c r="I241" s="134">
        <v>0</v>
      </c>
      <c r="J241" s="131">
        <f>LOG(G241+([4]Values!$D$8*H241)+([4]Values!$D$9*I241)+(K241*[4]Values!$D$10)+(L241*[4]Values!$D$11)+1)</f>
        <v>3.8715255314556482E-2</v>
      </c>
      <c r="K241" s="133">
        <v>10</v>
      </c>
      <c r="L241" s="133">
        <v>0</v>
      </c>
      <c r="M241" s="149" t="s">
        <v>23</v>
      </c>
    </row>
    <row r="242" spans="1:13" ht="12.3">
      <c r="A242" s="153">
        <v>43056</v>
      </c>
      <c r="B242" s="137" t="s">
        <v>29</v>
      </c>
      <c r="C242" s="137" t="s">
        <v>416</v>
      </c>
      <c r="D242" s="137">
        <v>5.2</v>
      </c>
      <c r="E242" s="137">
        <v>78</v>
      </c>
      <c r="F242" s="137" t="s">
        <v>684</v>
      </c>
      <c r="G242" s="136">
        <v>0</v>
      </c>
      <c r="H242" s="135">
        <v>3</v>
      </c>
      <c r="I242" s="134">
        <v>0</v>
      </c>
      <c r="J242" s="131">
        <f>LOG(G242+([4]Values!$D$8*H242)+([4]Values!$D$9*I242)+(K242*[4]Values!$D$10)+(L242*[4]Values!$D$11)+1)</f>
        <v>0.25212686374327609</v>
      </c>
      <c r="K242" s="133">
        <v>2</v>
      </c>
      <c r="L242" s="133">
        <v>0</v>
      </c>
      <c r="M242" s="149" t="s">
        <v>23</v>
      </c>
    </row>
    <row r="243" spans="1:13" ht="12.3">
      <c r="A243" s="153">
        <v>43056</v>
      </c>
      <c r="B243" s="137" t="s">
        <v>83</v>
      </c>
      <c r="C243" s="137" t="s">
        <v>1298</v>
      </c>
      <c r="D243" s="150">
        <v>6.5</v>
      </c>
      <c r="E243" s="137">
        <v>7</v>
      </c>
      <c r="F243" s="137" t="s">
        <v>363</v>
      </c>
      <c r="G243" s="136">
        <v>0</v>
      </c>
      <c r="H243" s="135">
        <v>3</v>
      </c>
      <c r="I243" s="134">
        <v>2384</v>
      </c>
      <c r="J243" s="131">
        <f>LOG(G243+([4]Values!$D$8*H243)+([4]Values!$D$9*I243)+(K243*[4]Values!$D$10)+(L243*[4]Values!$D$11)+1)</f>
        <v>2.0161047131573633</v>
      </c>
      <c r="K243" s="133">
        <v>5700</v>
      </c>
      <c r="L243" s="133">
        <v>127</v>
      </c>
      <c r="M243" s="149" t="s">
        <v>23</v>
      </c>
    </row>
    <row r="244" spans="1:13" ht="12.3">
      <c r="A244" s="153">
        <v>43057</v>
      </c>
      <c r="B244" s="137" t="s">
        <v>29</v>
      </c>
      <c r="C244" s="137" t="s">
        <v>416</v>
      </c>
      <c r="D244" s="137">
        <v>5.2</v>
      </c>
      <c r="E244" s="137">
        <v>29</v>
      </c>
      <c r="F244" s="137" t="s">
        <v>134</v>
      </c>
      <c r="G244" s="136">
        <v>0</v>
      </c>
      <c r="H244" s="135">
        <v>0</v>
      </c>
      <c r="I244" s="134">
        <v>17</v>
      </c>
      <c r="J244" s="131">
        <f>LOG(G244+([4]Values!$D$8*H244)+([4]Values!$D$9*I244)+(K244*[4]Values!$D$10)+(L244*[4]Values!$D$11)+1)</f>
        <v>0.12055259093126008</v>
      </c>
      <c r="K244" s="133"/>
      <c r="L244" s="133"/>
      <c r="M244" s="149" t="s">
        <v>23</v>
      </c>
    </row>
    <row r="245" spans="1:13" ht="12.3">
      <c r="A245" s="153">
        <v>43057</v>
      </c>
      <c r="B245" s="137" t="s">
        <v>24</v>
      </c>
      <c r="C245" s="137" t="s">
        <v>271</v>
      </c>
      <c r="D245" s="137">
        <v>4.2</v>
      </c>
      <c r="E245" s="137"/>
      <c r="F245" s="137"/>
      <c r="G245" s="136">
        <v>0</v>
      </c>
      <c r="H245" s="135">
        <v>0</v>
      </c>
      <c r="I245" s="134">
        <v>0</v>
      </c>
      <c r="J245" s="131">
        <f>LOG(G245+([4]Values!$D$8*H245)+([4]Values!$D$9*I245)+(K245*[4]Values!$D$10)+(L245*[4]Values!$D$11)+1)</f>
        <v>7.4259946119613868E-2</v>
      </c>
      <c r="K245" s="133">
        <v>20</v>
      </c>
      <c r="L245" s="133">
        <v>0</v>
      </c>
      <c r="M245" s="149" t="s">
        <v>23</v>
      </c>
    </row>
    <row r="246" spans="1:13" ht="12.3">
      <c r="A246" s="153">
        <v>43057</v>
      </c>
      <c r="B246" s="137" t="s">
        <v>346</v>
      </c>
      <c r="C246" s="137" t="s">
        <v>1159</v>
      </c>
      <c r="D246" s="137">
        <v>4.8</v>
      </c>
      <c r="E246" s="137">
        <v>5</v>
      </c>
      <c r="F246" s="137"/>
      <c r="G246" s="136">
        <v>0</v>
      </c>
      <c r="H246" s="135">
        <v>0</v>
      </c>
      <c r="I246" s="134">
        <v>0</v>
      </c>
      <c r="J246" s="131">
        <f>LOG(G246+([4]Values!$D$8*H246)+([4]Values!$D$9*I246)+(K246*[4]Values!$D$10)+(L246*[4]Values!$D$11)+1)</f>
        <v>5.6851142226527845E-2</v>
      </c>
      <c r="K246" s="133">
        <v>15</v>
      </c>
      <c r="L246" s="133">
        <v>0</v>
      </c>
      <c r="M246" s="149" t="s">
        <v>23</v>
      </c>
    </row>
    <row r="247" spans="1:13" ht="12.3">
      <c r="A247" s="153">
        <v>43057</v>
      </c>
      <c r="B247" s="137" t="s">
        <v>44</v>
      </c>
      <c r="C247" s="137" t="s">
        <v>1320</v>
      </c>
      <c r="D247" s="150">
        <v>5.8</v>
      </c>
      <c r="E247" s="137"/>
      <c r="F247" s="137"/>
      <c r="G247" s="136">
        <v>0</v>
      </c>
      <c r="H247" s="135">
        <v>30</v>
      </c>
      <c r="I247" s="134">
        <v>581</v>
      </c>
      <c r="J247" s="131">
        <f>LOG(G247+([4]Values!$D$8*H247)+([4]Values!$D$9*I247)+(K247*[4]Values!$D$10)+(L247*[4]Values!$D$11)+1)</f>
        <v>1.4192263354993562</v>
      </c>
      <c r="K247" s="133">
        <v>155</v>
      </c>
      <c r="L247" s="133">
        <v>165</v>
      </c>
      <c r="M247" s="141" t="s">
        <v>23</v>
      </c>
    </row>
    <row r="248" spans="1:13" ht="12.3">
      <c r="A248" s="153">
        <v>43058</v>
      </c>
      <c r="B248" s="137" t="s">
        <v>199</v>
      </c>
      <c r="C248" s="137" t="s">
        <v>1319</v>
      </c>
      <c r="D248" s="137">
        <v>4.4000000000000004</v>
      </c>
      <c r="E248" s="137">
        <v>32</v>
      </c>
      <c r="F248" s="137"/>
      <c r="G248" s="136">
        <v>0</v>
      </c>
      <c r="H248" s="154">
        <v>0</v>
      </c>
      <c r="I248" s="134">
        <v>0</v>
      </c>
      <c r="J248" s="131">
        <f>LOG(G248+([4]Values!$D$8*H248)+([4]Values!$D$9*I248)+(K248*[4]Values!$D$10)+(L248*[4]Values!$D$11)+1)</f>
        <v>8.0240814190273343E-3</v>
      </c>
      <c r="K248" s="133">
        <v>2</v>
      </c>
      <c r="L248" s="133">
        <v>0</v>
      </c>
      <c r="M248" s="149" t="s">
        <v>23</v>
      </c>
    </row>
    <row r="249" spans="1:13" ht="12.3">
      <c r="A249" s="153">
        <v>43058</v>
      </c>
      <c r="B249" s="137" t="s">
        <v>512</v>
      </c>
      <c r="C249" s="137" t="s">
        <v>1318</v>
      </c>
      <c r="D249" s="152">
        <v>7</v>
      </c>
      <c r="E249" s="137"/>
      <c r="F249" s="137" t="s">
        <v>123</v>
      </c>
      <c r="G249" s="136">
        <v>0</v>
      </c>
      <c r="H249" s="135">
        <v>0</v>
      </c>
      <c r="I249" s="134">
        <v>0</v>
      </c>
      <c r="J249" s="131">
        <f>LOG(G249+([4]Values!$D$8*H249)+([4]Values!$D$9*I249)+(K249*[4]Values!$D$10)+(L249*[4]Values!$D$11)+1)</f>
        <v>0</v>
      </c>
      <c r="K249" s="133">
        <v>0</v>
      </c>
      <c r="L249" s="133">
        <v>0</v>
      </c>
      <c r="M249" s="149" t="s">
        <v>1317</v>
      </c>
    </row>
    <row r="250" spans="1:13" ht="12.3">
      <c r="A250" s="153">
        <v>43059</v>
      </c>
      <c r="B250" s="137" t="s">
        <v>1222</v>
      </c>
      <c r="C250" s="137" t="s">
        <v>1316</v>
      </c>
      <c r="D250" s="137">
        <v>5.3</v>
      </c>
      <c r="E250" s="137"/>
      <c r="F250" s="137"/>
      <c r="G250" s="136">
        <v>0</v>
      </c>
      <c r="H250" s="135">
        <v>0</v>
      </c>
      <c r="I250" s="134">
        <v>0</v>
      </c>
      <c r="J250" s="131">
        <f>LOG(G250+([4]Values!$D$8*H250)+([4]Values!$D$9*I250)+(K250*[4]Values!$D$10)+(L250*[4]Values!$D$11)+1)</f>
        <v>0.16619225265371032</v>
      </c>
      <c r="K250" s="133">
        <v>50</v>
      </c>
      <c r="L250" s="133">
        <v>0</v>
      </c>
      <c r="M250" s="149" t="s">
        <v>23</v>
      </c>
    </row>
    <row r="251" spans="1:13" ht="12.3">
      <c r="A251" s="153">
        <v>43061</v>
      </c>
      <c r="B251" s="137" t="s">
        <v>105</v>
      </c>
      <c r="C251" s="137" t="s">
        <v>1314</v>
      </c>
      <c r="D251" s="138">
        <v>5</v>
      </c>
      <c r="E251" s="137">
        <v>5</v>
      </c>
      <c r="F251" s="137"/>
      <c r="G251" s="136">
        <v>0</v>
      </c>
      <c r="H251" s="135">
        <v>0</v>
      </c>
      <c r="I251" s="134">
        <v>0</v>
      </c>
      <c r="J251" s="131">
        <f>LOG(G251+([4]Values!$D$8*H251)+([4]Values!$D$9*I251)+(K251*[4]Values!$D$10)+(L251*[4]Values!$D$11)+1)</f>
        <v>9.7516297365961221E-2</v>
      </c>
      <c r="K251" s="133">
        <v>27</v>
      </c>
      <c r="L251" s="133">
        <v>0</v>
      </c>
      <c r="M251" s="149" t="s">
        <v>23</v>
      </c>
    </row>
    <row r="252" spans="1:13" ht="12.3">
      <c r="A252" s="139">
        <v>43062</v>
      </c>
      <c r="B252" s="137" t="s">
        <v>83</v>
      </c>
      <c r="C252" s="137" t="s">
        <v>1315</v>
      </c>
      <c r="D252" s="138">
        <v>5</v>
      </c>
      <c r="E252" s="137">
        <v>10</v>
      </c>
      <c r="F252" s="137" t="s">
        <v>35</v>
      </c>
      <c r="G252" s="136">
        <v>0</v>
      </c>
      <c r="H252" s="135">
        <v>10</v>
      </c>
      <c r="I252" s="134">
        <v>145</v>
      </c>
      <c r="J252" s="131">
        <f>LOG(G252+([4]Values!$D$8*H252)+([4]Values!$D$9*I252)+(K252*[4]Values!$D$10)+(L252*[4]Values!$D$11)+1)</f>
        <v>1.6326175336758328</v>
      </c>
      <c r="K252" s="133">
        <v>3729</v>
      </c>
      <c r="L252" s="133">
        <v>59</v>
      </c>
      <c r="M252" s="149" t="s">
        <v>23</v>
      </c>
    </row>
    <row r="253" spans="1:13" ht="12.3">
      <c r="A253" s="139">
        <v>43062</v>
      </c>
      <c r="B253" s="137" t="s">
        <v>33</v>
      </c>
      <c r="C253" s="137" t="s">
        <v>1126</v>
      </c>
      <c r="D253" s="138">
        <v>4.5</v>
      </c>
      <c r="E253" s="137"/>
      <c r="F253" s="137"/>
      <c r="G253" s="136">
        <v>0</v>
      </c>
      <c r="H253" s="135">
        <v>0</v>
      </c>
      <c r="I253" s="134">
        <v>0</v>
      </c>
      <c r="J253" s="131">
        <f>LOG(G253+([4]Values!$D$8*H253)+([4]Values!$D$9*I253)+(K253*[4]Values!$D$10)+(L253*[4]Values!$D$11)+1)</f>
        <v>7.4259946119613868E-2</v>
      </c>
      <c r="K253" s="133">
        <v>20</v>
      </c>
      <c r="L253" s="133">
        <v>0</v>
      </c>
      <c r="M253" s="149" t="s">
        <v>23</v>
      </c>
    </row>
    <row r="254" spans="1:13" ht="12.3">
      <c r="A254" s="139">
        <v>43062</v>
      </c>
      <c r="B254" s="137" t="s">
        <v>17</v>
      </c>
      <c r="C254" s="137" t="s">
        <v>1224</v>
      </c>
      <c r="D254" s="138">
        <v>4.3</v>
      </c>
      <c r="E254" s="137">
        <v>11</v>
      </c>
      <c r="F254" s="137"/>
      <c r="G254" s="136">
        <v>0</v>
      </c>
      <c r="H254" s="135">
        <v>34</v>
      </c>
      <c r="I254" s="134">
        <v>0</v>
      </c>
      <c r="J254" s="131">
        <f>LOG(G254+([4]Values!$D$8*H254)+([4]Values!$D$9*I254)+(K254*[4]Values!$D$10)+(L254*[4]Values!$D$11)+1)</f>
        <v>0.99128536338498219</v>
      </c>
      <c r="K254" s="133">
        <v>10</v>
      </c>
      <c r="L254" s="133">
        <v>0</v>
      </c>
      <c r="M254" s="149" t="s">
        <v>23</v>
      </c>
    </row>
    <row r="255" spans="1:13" ht="12.3">
      <c r="A255" s="139">
        <v>43063</v>
      </c>
      <c r="B255" s="137" t="s">
        <v>105</v>
      </c>
      <c r="C255" s="137" t="s">
        <v>1314</v>
      </c>
      <c r="D255" s="138">
        <v>5.0999999999999996</v>
      </c>
      <c r="E255" s="137">
        <v>6</v>
      </c>
      <c r="F255" s="137"/>
      <c r="G255" s="136">
        <v>0</v>
      </c>
      <c r="H255" s="135">
        <v>0</v>
      </c>
      <c r="I255" s="134">
        <v>0</v>
      </c>
      <c r="J255" s="131">
        <f>LOG(G255+([4]Values!$D$8*H255)+([4]Values!$D$9*I255)+(K255*[4]Values!$D$10)+(L255*[4]Values!$D$11)+1)</f>
        <v>0.12947573454254493</v>
      </c>
      <c r="K255" s="133">
        <v>17</v>
      </c>
      <c r="L255" s="133">
        <v>6</v>
      </c>
      <c r="M255" s="149" t="s">
        <v>23</v>
      </c>
    </row>
    <row r="256" spans="1:13" ht="12.3">
      <c r="A256" s="139">
        <v>43064</v>
      </c>
      <c r="B256" s="137" t="s">
        <v>1313</v>
      </c>
      <c r="C256" s="137" t="s">
        <v>528</v>
      </c>
      <c r="D256" s="138">
        <v>5.0999999999999996</v>
      </c>
      <c r="E256" s="137"/>
      <c r="F256" s="137"/>
      <c r="G256" s="136">
        <v>0</v>
      </c>
      <c r="H256" s="135">
        <v>0</v>
      </c>
      <c r="I256" s="134">
        <v>0</v>
      </c>
      <c r="J256" s="131">
        <f>LOG(G256+([4]Values!$D$8*H256)+([4]Values!$D$9*I256)+(K256*[4]Values!$D$10)+(L256*[4]Values!$D$11)+1)</f>
        <v>2.7458695807798424E-2</v>
      </c>
      <c r="K256" s="133">
        <v>7</v>
      </c>
      <c r="L256" s="133">
        <v>0</v>
      </c>
      <c r="M256" s="149" t="s">
        <v>23</v>
      </c>
    </row>
    <row r="257" spans="1:13" ht="12.3">
      <c r="A257" s="139">
        <v>43067</v>
      </c>
      <c r="B257" s="137" t="s">
        <v>29</v>
      </c>
      <c r="C257" s="137" t="s">
        <v>416</v>
      </c>
      <c r="D257" s="138">
        <v>5</v>
      </c>
      <c r="E257" s="137">
        <v>80</v>
      </c>
      <c r="F257" s="137"/>
      <c r="G257" s="136">
        <v>0</v>
      </c>
      <c r="H257" s="135">
        <v>0</v>
      </c>
      <c r="I257" s="134">
        <v>0</v>
      </c>
      <c r="J257" s="131">
        <f>LOG(G257+([4]Values!$D$8*H257)+([4]Values!$D$9*I257)+(K257*[4]Values!$D$10)+(L257*[4]Values!$D$11)+1)</f>
        <v>1.9788894635760546E-2</v>
      </c>
      <c r="K257" s="133">
        <v>5</v>
      </c>
      <c r="L257" s="133">
        <v>0</v>
      </c>
      <c r="M257" s="149" t="s">
        <v>23</v>
      </c>
    </row>
    <row r="258" spans="1:13" ht="12.3">
      <c r="A258" s="139">
        <v>43069</v>
      </c>
      <c r="B258" s="137" t="s">
        <v>1312</v>
      </c>
      <c r="C258" s="137" t="s">
        <v>1311</v>
      </c>
      <c r="D258" s="138">
        <v>5</v>
      </c>
      <c r="E258" s="137"/>
      <c r="F258" s="137"/>
      <c r="G258" s="136">
        <v>0</v>
      </c>
      <c r="H258" s="135"/>
      <c r="I258" s="134"/>
      <c r="J258" s="131">
        <f>LOG(G258+([4]Values!$D$8*H258)+([4]Values!$D$9*I258)+(K258*[4]Values!$D$10)+(L258*[4]Values!$D$11)+1)</f>
        <v>0.12834621419285563</v>
      </c>
      <c r="K258" s="133">
        <v>20</v>
      </c>
      <c r="L258" s="133">
        <v>5</v>
      </c>
      <c r="M258" s="149" t="s">
        <v>23</v>
      </c>
    </row>
    <row r="259" spans="1:13" ht="12.3">
      <c r="A259" s="139">
        <v>43070</v>
      </c>
      <c r="B259" s="137" t="s">
        <v>17</v>
      </c>
      <c r="C259" s="137" t="s">
        <v>1137</v>
      </c>
      <c r="D259" s="152">
        <v>6.1</v>
      </c>
      <c r="E259" s="137">
        <v>10</v>
      </c>
      <c r="F259" s="137"/>
      <c r="G259" s="136">
        <v>0</v>
      </c>
      <c r="H259" s="135">
        <v>55</v>
      </c>
      <c r="I259" s="134">
        <v>1015</v>
      </c>
      <c r="J259" s="131">
        <f>LOG(G259+([4]Values!$D$8*H259)+([4]Values!$D$9*I259)+(K259*[4]Values!$D$10)+(L259*[4]Values!$D$11)+1)</f>
        <v>1.7886140100112837</v>
      </c>
      <c r="K259" s="133">
        <v>900</v>
      </c>
      <c r="L259" s="133">
        <v>600</v>
      </c>
      <c r="M259" s="149" t="s">
        <v>23</v>
      </c>
    </row>
    <row r="260" spans="1:13" ht="12.3">
      <c r="A260" s="139">
        <v>43071</v>
      </c>
      <c r="B260" s="137" t="s">
        <v>17</v>
      </c>
      <c r="C260" s="137" t="s">
        <v>145</v>
      </c>
      <c r="D260" s="138">
        <v>4.5999999999999996</v>
      </c>
      <c r="E260" s="137">
        <v>13</v>
      </c>
      <c r="F260" s="137"/>
      <c r="G260" s="136">
        <v>0</v>
      </c>
      <c r="H260" s="135">
        <v>0</v>
      </c>
      <c r="I260" s="134">
        <v>0</v>
      </c>
      <c r="J260" s="131">
        <f>LOG(G260+([4]Values!$D$8*H260)+([4]Values!$D$9*I260)+(K260*[4]Values!$D$10)+(L260*[4]Values!$D$11)+1)</f>
        <v>9.0997725520269523E-2</v>
      </c>
      <c r="K260" s="133">
        <v>25</v>
      </c>
      <c r="L260" s="133">
        <v>0</v>
      </c>
      <c r="M260" s="149" t="s">
        <v>23</v>
      </c>
    </row>
    <row r="261" spans="1:13" ht="12.3">
      <c r="A261" s="139">
        <v>43072</v>
      </c>
      <c r="B261" s="137" t="s">
        <v>29</v>
      </c>
      <c r="C261" s="137" t="s">
        <v>1310</v>
      </c>
      <c r="D261" s="152">
        <v>6</v>
      </c>
      <c r="E261" s="137">
        <v>25</v>
      </c>
      <c r="F261" s="137" t="s">
        <v>35</v>
      </c>
      <c r="G261" s="136">
        <v>0</v>
      </c>
      <c r="H261" s="135">
        <v>6</v>
      </c>
      <c r="I261" s="134"/>
      <c r="J261" s="131">
        <f>LOG(G261+([4]Values!$D$8*H261)+([4]Values!$D$9*I261)+(K261*[4]Values!$D$10)+(L261*[4]Values!$D$11)+1)</f>
        <v>0.44098739284520694</v>
      </c>
      <c r="K261" s="133">
        <v>24</v>
      </c>
      <c r="L261" s="133">
        <v>0</v>
      </c>
      <c r="M261" s="149" t="s">
        <v>23</v>
      </c>
    </row>
    <row r="262" spans="1:13" ht="12.3">
      <c r="A262" s="139">
        <v>43073</v>
      </c>
      <c r="B262" s="137" t="s">
        <v>652</v>
      </c>
      <c r="C262" s="137" t="s">
        <v>1309</v>
      </c>
      <c r="D262" s="138">
        <v>4</v>
      </c>
      <c r="E262" s="137">
        <v>12</v>
      </c>
      <c r="F262" s="137" t="s">
        <v>134</v>
      </c>
      <c r="G262" s="136">
        <v>0</v>
      </c>
      <c r="H262" s="135">
        <v>0</v>
      </c>
      <c r="I262" s="134">
        <v>0</v>
      </c>
      <c r="J262" s="131">
        <f>LOG(G262+([4]Values!$D$8*H262)+([4]Values!$D$9*I262)+(K262*[4]Values!$D$10)+(L262*[4]Values!$D$11)+1)</f>
        <v>1.9788894635760546E-2</v>
      </c>
      <c r="K262" s="133">
        <v>5</v>
      </c>
      <c r="L262" s="133">
        <v>0</v>
      </c>
      <c r="M262" s="149" t="s">
        <v>23</v>
      </c>
    </row>
    <row r="263" spans="1:13" ht="12.3">
      <c r="A263" s="139">
        <v>43074</v>
      </c>
      <c r="B263" s="137" t="s">
        <v>17</v>
      </c>
      <c r="C263" s="137" t="s">
        <v>53</v>
      </c>
      <c r="D263" s="138">
        <v>4.9000000000000004</v>
      </c>
      <c r="E263" s="137">
        <v>18</v>
      </c>
      <c r="F263" s="137"/>
      <c r="G263" s="136">
        <v>0</v>
      </c>
      <c r="H263" s="135">
        <v>33</v>
      </c>
      <c r="I263" s="134"/>
      <c r="J263" s="131">
        <f>LOG(G263+([4]Values!$D$8*H263)+([4]Values!$D$9*I263)+(K263*[4]Values!$D$10)+(L263*[4]Values!$D$11)+1)</f>
        <v>0.97552270400559415</v>
      </c>
      <c r="K263" s="133"/>
      <c r="L263" s="133"/>
      <c r="M263" s="149" t="s">
        <v>23</v>
      </c>
    </row>
    <row r="264" spans="1:13" ht="12.3">
      <c r="A264" s="139">
        <v>43074</v>
      </c>
      <c r="B264" s="137" t="s">
        <v>17</v>
      </c>
      <c r="C264" s="137" t="s">
        <v>169</v>
      </c>
      <c r="D264" s="138">
        <v>4.8</v>
      </c>
      <c r="E264" s="137">
        <v>23</v>
      </c>
      <c r="F264" s="137"/>
      <c r="G264" s="136">
        <v>0</v>
      </c>
      <c r="H264" s="135">
        <v>30</v>
      </c>
      <c r="I264" s="134"/>
      <c r="J264" s="131">
        <f>LOG(G264+([4]Values!$D$8*H264)+([4]Values!$D$9*I264)+(K264*[4]Values!$D$10)+(L264*[4]Values!$D$11)+1)</f>
        <v>0.97449010190675578</v>
      </c>
      <c r="K264" s="133">
        <v>80</v>
      </c>
      <c r="L264" s="133"/>
      <c r="M264" s="149" t="s">
        <v>23</v>
      </c>
    </row>
    <row r="265" spans="1:13" ht="12.3">
      <c r="A265" s="139">
        <v>43075</v>
      </c>
      <c r="B265" s="137" t="s">
        <v>24</v>
      </c>
      <c r="C265" s="137" t="s">
        <v>160</v>
      </c>
      <c r="D265" s="138">
        <v>5.0999999999999996</v>
      </c>
      <c r="E265" s="137"/>
      <c r="F265" s="137"/>
      <c r="G265" s="136">
        <v>0</v>
      </c>
      <c r="H265" s="135">
        <v>0</v>
      </c>
      <c r="I265" s="134"/>
      <c r="J265" s="131">
        <f>LOG(G265+([4]Values!$D$8*H265)+([4]Values!$D$9*I265)+(K265*[4]Values!$D$10)+(L265*[4]Values!$D$11)+1)</f>
        <v>0.23026881168477933</v>
      </c>
      <c r="K265" s="133">
        <v>75</v>
      </c>
      <c r="L265" s="133">
        <v>0</v>
      </c>
      <c r="M265" s="149" t="s">
        <v>23</v>
      </c>
    </row>
    <row r="266" spans="1:13" ht="12.3">
      <c r="A266" s="139">
        <v>43075</v>
      </c>
      <c r="B266" s="137" t="s">
        <v>44</v>
      </c>
      <c r="C266" s="137" t="s">
        <v>1308</v>
      </c>
      <c r="D266" s="138">
        <v>5.0999999999999996</v>
      </c>
      <c r="E266" s="137"/>
      <c r="F266" s="137"/>
      <c r="G266" s="136">
        <v>0</v>
      </c>
      <c r="H266" s="135">
        <v>1</v>
      </c>
      <c r="I266" s="134">
        <v>100</v>
      </c>
      <c r="J266" s="131">
        <f>LOG(G266+([4]Values!$D$8*H266)+([4]Values!$D$9*I266)+(K266*[4]Values!$D$10)+(L266*[4]Values!$D$11)+1)</f>
        <v>0.79304208044499791</v>
      </c>
      <c r="K266" s="133">
        <v>191</v>
      </c>
      <c r="L266" s="133">
        <v>41</v>
      </c>
      <c r="M266" s="149" t="s">
        <v>23</v>
      </c>
    </row>
    <row r="267" spans="1:13" ht="12.3">
      <c r="A267" s="139">
        <v>43076</v>
      </c>
      <c r="B267" s="137" t="s">
        <v>172</v>
      </c>
      <c r="C267" s="137" t="s">
        <v>621</v>
      </c>
      <c r="D267" s="138">
        <v>4.5</v>
      </c>
      <c r="E267" s="137"/>
      <c r="F267" s="137"/>
      <c r="G267" s="136">
        <v>0</v>
      </c>
      <c r="H267" s="135">
        <v>0</v>
      </c>
      <c r="I267" s="134">
        <v>0</v>
      </c>
      <c r="J267" s="131">
        <f>LOG(G267+([4]Values!$D$8*H267)+([4]Values!$D$9*I267)+(K267*[4]Values!$D$10)+(L267*[4]Values!$D$11)+1)</f>
        <v>1.1981203095237175E-2</v>
      </c>
      <c r="K267" s="133">
        <v>3</v>
      </c>
      <c r="L267" s="133">
        <v>0</v>
      </c>
      <c r="M267" s="149" t="s">
        <v>23</v>
      </c>
    </row>
    <row r="268" spans="1:13" ht="12.3">
      <c r="A268" s="139">
        <v>43079</v>
      </c>
      <c r="B268" s="137" t="s">
        <v>1184</v>
      </c>
      <c r="C268" s="137" t="s">
        <v>1307</v>
      </c>
      <c r="D268" s="138">
        <v>3.5</v>
      </c>
      <c r="E268" s="137">
        <v>12</v>
      </c>
      <c r="F268" s="137"/>
      <c r="G268" s="136">
        <v>0</v>
      </c>
      <c r="H268" s="135">
        <v>0</v>
      </c>
      <c r="I268" s="134">
        <v>0</v>
      </c>
      <c r="J268" s="131">
        <f>LOG(G268+([4]Values!$D$8*H268)+([4]Values!$D$9*I268)+(K268*[4]Values!$D$10)+(L268*[4]Values!$D$11)+1)</f>
        <v>4.030572192620571E-3</v>
      </c>
      <c r="K268" s="133">
        <v>1</v>
      </c>
      <c r="L268" s="133">
        <v>0</v>
      </c>
      <c r="M268" s="149" t="s">
        <v>23</v>
      </c>
    </row>
    <row r="269" spans="1:13" ht="12.3">
      <c r="A269" s="139">
        <v>43080</v>
      </c>
      <c r="B269" s="137" t="s">
        <v>17</v>
      </c>
      <c r="C269" s="137" t="s">
        <v>1090</v>
      </c>
      <c r="D269" s="138">
        <v>5.4</v>
      </c>
      <c r="E269" s="137"/>
      <c r="F269" s="137"/>
      <c r="G269" s="136">
        <v>0</v>
      </c>
      <c r="H269" s="135">
        <v>9</v>
      </c>
      <c r="I269" s="134"/>
      <c r="J269" s="131">
        <f>LOG(G269+([4]Values!$D$8*H269)+([4]Values!$D$9*I269)+(K269*[4]Values!$D$10)+(L269*[4]Values!$D$11)+1)</f>
        <v>0.68830021024804322</v>
      </c>
      <c r="K269" s="133"/>
      <c r="L269" s="133">
        <v>50</v>
      </c>
      <c r="M269" s="149" t="s">
        <v>23</v>
      </c>
    </row>
    <row r="270" spans="1:13" ht="12.3">
      <c r="A270" s="139">
        <v>43081</v>
      </c>
      <c r="B270" s="137" t="s">
        <v>17</v>
      </c>
      <c r="C270" s="137" t="s">
        <v>1137</v>
      </c>
      <c r="D270" s="152">
        <v>6.2</v>
      </c>
      <c r="E270" s="137"/>
      <c r="F270" s="137"/>
      <c r="G270" s="136">
        <v>0</v>
      </c>
      <c r="H270" s="135">
        <v>29</v>
      </c>
      <c r="I270" s="134"/>
      <c r="J270" s="131">
        <f>LOG(G270+([4]Values!$D$8*H270)+([4]Values!$D$9*I270)+(K270*[4]Values!$D$10)+(L270*[4]Values!$D$11)+1)</f>
        <v>0.9569807401051702</v>
      </c>
      <c r="K270" s="133"/>
      <c r="L270" s="133">
        <v>20</v>
      </c>
      <c r="M270" s="149" t="s">
        <v>23</v>
      </c>
    </row>
    <row r="271" spans="1:13" ht="12.3">
      <c r="A271" s="139">
        <v>43081</v>
      </c>
      <c r="B271" s="137" t="s">
        <v>17</v>
      </c>
      <c r="C271" s="137" t="s">
        <v>1137</v>
      </c>
      <c r="D271" s="152">
        <v>6.1</v>
      </c>
      <c r="E271" s="137"/>
      <c r="F271" s="137"/>
      <c r="G271" s="136">
        <v>0</v>
      </c>
      <c r="H271" s="135">
        <v>58</v>
      </c>
      <c r="I271" s="134">
        <v>720</v>
      </c>
      <c r="J271" s="131">
        <f>LOG(G271+([4]Values!$D$8*H271)+([4]Values!$D$9*I271)+(K271*[4]Values!$D$10)+(L271*[4]Values!$D$11)+1)</f>
        <v>1.4684239287806644</v>
      </c>
      <c r="K271" s="133"/>
      <c r="L271" s="133"/>
      <c r="M271" s="149" t="s">
        <v>23</v>
      </c>
    </row>
    <row r="272" spans="1:13" ht="12.3">
      <c r="A272" s="139">
        <v>43083</v>
      </c>
      <c r="B272" s="137" t="s">
        <v>83</v>
      </c>
      <c r="C272" s="137" t="s">
        <v>538</v>
      </c>
      <c r="D272" s="138">
        <v>4.9000000000000004</v>
      </c>
      <c r="E272" s="150"/>
      <c r="F272" s="150"/>
      <c r="G272" s="136"/>
      <c r="H272" s="135"/>
      <c r="I272" s="134"/>
      <c r="J272" s="131">
        <f>LOG(G272+([4]Values!$D$8*H272)+([4]Values!$D$9*I272)+(K272*[4]Values!$D$10)+(L272*[4]Values!$D$11)+1)</f>
        <v>3.8715255314556482E-2</v>
      </c>
      <c r="K272" s="133">
        <v>10</v>
      </c>
      <c r="L272" s="133"/>
      <c r="M272" s="149" t="s">
        <v>23</v>
      </c>
    </row>
    <row r="273" spans="1:13" ht="12.3">
      <c r="A273" s="147">
        <v>43084</v>
      </c>
      <c r="B273" s="145" t="s">
        <v>44</v>
      </c>
      <c r="C273" s="145" t="s">
        <v>776</v>
      </c>
      <c r="D273" s="146">
        <v>6.5</v>
      </c>
      <c r="E273" s="145">
        <v>92</v>
      </c>
      <c r="F273" s="145" t="s">
        <v>123</v>
      </c>
      <c r="G273" s="136">
        <v>4</v>
      </c>
      <c r="H273" s="144">
        <v>36</v>
      </c>
      <c r="I273" s="144">
        <v>200</v>
      </c>
      <c r="J273" s="143">
        <f>LOG(G273+([4]Values!$D$8*H273)+([4]Values!$D$9*I273)+(K273*[4]Values!$D$10)+(L273*[4]Values!$D$11)+1)</f>
        <v>1.7682572535217036</v>
      </c>
      <c r="K273" s="142">
        <v>2839</v>
      </c>
      <c r="L273" s="142">
        <v>451</v>
      </c>
      <c r="M273" s="148" t="s">
        <v>23</v>
      </c>
    </row>
    <row r="274" spans="1:13" ht="12.3">
      <c r="A274" s="147">
        <v>43089</v>
      </c>
      <c r="B274" s="145" t="s">
        <v>17</v>
      </c>
      <c r="C274" s="145" t="s">
        <v>1306</v>
      </c>
      <c r="D274" s="146">
        <v>5.2</v>
      </c>
      <c r="E274" s="145">
        <v>7</v>
      </c>
      <c r="F274" s="145"/>
      <c r="G274" s="136">
        <v>2</v>
      </c>
      <c r="H274" s="144">
        <v>117</v>
      </c>
      <c r="I274" s="144"/>
      <c r="J274" s="143">
        <f>LOG(G274+([4]Values!$D$8*H274)+([4]Values!$D$9*I274)+(K274*[4]Values!$D$10)+(L274*[4]Values!$D$11)+1)</f>
        <v>1.6540534532468327</v>
      </c>
      <c r="K274" s="142">
        <v>1300</v>
      </c>
      <c r="L274" s="142"/>
      <c r="M274" s="141" t="s">
        <v>23</v>
      </c>
    </row>
    <row r="275" spans="1:13" ht="12.3">
      <c r="A275" s="139">
        <v>43090</v>
      </c>
      <c r="B275" s="137" t="s">
        <v>378</v>
      </c>
      <c r="C275" s="137" t="s">
        <v>1305</v>
      </c>
      <c r="D275" s="138">
        <v>4.7</v>
      </c>
      <c r="E275" s="137">
        <v>143</v>
      </c>
      <c r="F275" s="137"/>
      <c r="G275" s="136">
        <v>0</v>
      </c>
      <c r="H275" s="135">
        <v>0</v>
      </c>
      <c r="I275" s="134">
        <v>0</v>
      </c>
      <c r="J275" s="131">
        <f>LOG(G275+([4]Values!$D$8*H275)+([4]Values!$D$9*I275)+(K275*[4]Values!$D$10)+(L275*[4]Values!$D$11)+1)</f>
        <v>8.0240814190273343E-3</v>
      </c>
      <c r="K275" s="133">
        <v>2</v>
      </c>
      <c r="L275" s="133">
        <v>0</v>
      </c>
      <c r="M275" s="132" t="s">
        <v>23</v>
      </c>
    </row>
    <row r="276" spans="1:13" ht="12.3">
      <c r="A276" s="139">
        <v>43090</v>
      </c>
      <c r="B276" s="137" t="s">
        <v>17</v>
      </c>
      <c r="C276" s="137" t="s">
        <v>1137</v>
      </c>
      <c r="D276" s="138">
        <v>5.2</v>
      </c>
      <c r="E276" s="137"/>
      <c r="F276" s="137"/>
      <c r="G276" s="136">
        <v>0</v>
      </c>
      <c r="H276" s="135">
        <v>42</v>
      </c>
      <c r="I276" s="134">
        <v>8550</v>
      </c>
      <c r="J276" s="131">
        <f>LOG(G276+([4]Values!$D$8*H276)+([4]Values!$D$9*I276)+(K276*[4]Values!$D$10)+(L276*[4]Values!$D$11)+1)</f>
        <v>2.3632903850968372</v>
      </c>
      <c r="K276" s="133">
        <v>500</v>
      </c>
      <c r="L276" s="133">
        <v>1700</v>
      </c>
      <c r="M276" s="132" t="s">
        <v>23</v>
      </c>
    </row>
    <row r="277" spans="1:13" ht="12.3">
      <c r="A277" s="139">
        <v>43091</v>
      </c>
      <c r="B277" s="137" t="s">
        <v>33</v>
      </c>
      <c r="C277" s="137" t="s">
        <v>281</v>
      </c>
      <c r="D277" s="138">
        <v>4.3</v>
      </c>
      <c r="E277" s="137"/>
      <c r="F277" s="137"/>
      <c r="G277" s="136">
        <v>0</v>
      </c>
      <c r="H277" s="135">
        <v>0</v>
      </c>
      <c r="I277" s="134">
        <v>0</v>
      </c>
      <c r="J277" s="131">
        <f>LOG(G277+([4]Values!$D$8*H277)+([4]Values!$D$9*I277)+(K277*[4]Values!$D$10)+(L277*[4]Values!$D$11)+1)</f>
        <v>1.9788894635760546E-2</v>
      </c>
      <c r="K277" s="133">
        <v>5</v>
      </c>
      <c r="L277" s="133">
        <v>0</v>
      </c>
      <c r="M277" s="132" t="s">
        <v>23</v>
      </c>
    </row>
    <row r="278" spans="1:13" ht="12.3">
      <c r="A278" s="139">
        <v>43094</v>
      </c>
      <c r="B278" s="137" t="s">
        <v>17</v>
      </c>
      <c r="C278" s="137" t="s">
        <v>1303</v>
      </c>
      <c r="D278" s="138">
        <v>4.7</v>
      </c>
      <c r="E278" s="137">
        <v>7</v>
      </c>
      <c r="F278" s="137"/>
      <c r="G278" s="136">
        <v>0</v>
      </c>
      <c r="H278" s="135">
        <v>5</v>
      </c>
      <c r="I278" s="134"/>
      <c r="J278" s="131">
        <f>LOG(G278+([4]Values!$D$8*H278)+([4]Values!$D$9*I278)+(K278*[4]Values!$D$10)+(L278*[4]Values!$D$11)+1)</f>
        <v>0.41419040817470376</v>
      </c>
      <c r="K278" s="133"/>
      <c r="L278" s="133">
        <v>10</v>
      </c>
      <c r="M278" s="132" t="s">
        <v>23</v>
      </c>
    </row>
    <row r="279" spans="1:13" ht="12.3">
      <c r="A279" s="147">
        <v>43095</v>
      </c>
      <c r="B279" s="145" t="s">
        <v>17</v>
      </c>
      <c r="C279" s="145" t="s">
        <v>1304</v>
      </c>
      <c r="D279" s="146">
        <v>4.2</v>
      </c>
      <c r="E279" s="145">
        <v>13</v>
      </c>
      <c r="F279" s="145"/>
      <c r="G279" s="136">
        <v>1</v>
      </c>
      <c r="H279" s="144">
        <v>75</v>
      </c>
      <c r="I279" s="144">
        <v>0</v>
      </c>
      <c r="J279" s="143">
        <f>LOG(G279+([4]Values!$D$8*H279)+([4]Values!$D$9*I279)+(K279*[4]Values!$D$10)+(L279*[4]Values!$D$11)+1)</f>
        <v>1.3265210317066465</v>
      </c>
      <c r="K279" s="142">
        <v>0</v>
      </c>
      <c r="L279" s="142">
        <v>0</v>
      </c>
      <c r="M279" s="141" t="s">
        <v>23</v>
      </c>
    </row>
    <row r="280" spans="1:13" ht="12.3">
      <c r="A280" s="139">
        <v>43096</v>
      </c>
      <c r="B280" s="137" t="s">
        <v>17</v>
      </c>
      <c r="C280" s="137" t="s">
        <v>1303</v>
      </c>
      <c r="D280" s="138">
        <v>5.0999999999999996</v>
      </c>
      <c r="E280" s="137">
        <v>9</v>
      </c>
      <c r="F280" s="137"/>
      <c r="G280" s="136">
        <v>0</v>
      </c>
      <c r="H280" s="135">
        <v>1</v>
      </c>
      <c r="I280" s="134"/>
      <c r="J280" s="131">
        <f>LOG(G280+([4]Values!$D$8*H280)+([4]Values!$D$9*I280)+(K280*[4]Values!$D$10)+(L280*[4]Values!$D$11)+1)</f>
        <v>9.9031319540078808E-2</v>
      </c>
      <c r="K280" s="133"/>
      <c r="L280" s="133"/>
      <c r="M280" s="132" t="s">
        <v>23</v>
      </c>
    </row>
    <row r="281" spans="1:13" ht="12.3"/>
    <row r="282" spans="1:13" ht="12.3"/>
    <row r="283" spans="1:13" ht="12.3"/>
    <row r="284" spans="1:13" ht="12.3">
      <c r="A284" s="85"/>
      <c r="B284" s="85"/>
      <c r="C284" s="85"/>
      <c r="D284" s="85"/>
      <c r="E284" s="85"/>
      <c r="F284" s="85"/>
      <c r="G284" s="85"/>
      <c r="H284" s="85"/>
      <c r="I284" s="85"/>
      <c r="J284" s="85"/>
      <c r="K284" s="85"/>
      <c r="L284" s="85"/>
      <c r="M284" s="85"/>
    </row>
  </sheetData>
  <mergeCells count="1">
    <mergeCell ref="A284:M284"/>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31EF6-3829-4329-BA2A-ED5518527C4F}">
  <sheetPr>
    <outlinePr summaryBelow="0" summaryRight="0"/>
  </sheetPr>
  <dimension ref="A1:O324"/>
  <sheetViews>
    <sheetView topLeftCell="G1" workbookViewId="0">
      <pane ySplit="1" topLeftCell="A2" activePane="bottomLeft" state="frozen"/>
      <selection pane="bottomLeft" activeCell="D1" sqref="D1"/>
    </sheetView>
    <sheetView workbookViewId="1">
      <selection activeCell="P1" sqref="P1:Q1048576"/>
    </sheetView>
  </sheetViews>
  <sheetFormatPr defaultColWidth="13.68359375" defaultRowHeight="15.75" customHeight="1"/>
  <cols>
    <col min="1" max="1" width="9.89453125" style="8" customWidth="1"/>
    <col min="2" max="2" width="17.47265625" style="8" customWidth="1"/>
    <col min="3" max="3" width="28.41796875" style="8" customWidth="1"/>
    <col min="4" max="4" width="9.89453125" style="8" customWidth="1"/>
    <col min="5" max="5" width="12.734375" style="8" customWidth="1"/>
    <col min="6" max="6" width="17.47265625" style="8" customWidth="1"/>
    <col min="7" max="7" width="6.3671875" style="8" customWidth="1"/>
    <col min="8" max="8" width="11.62890625" style="8" customWidth="1"/>
    <col min="9" max="9" width="8.62890625" style="8" customWidth="1"/>
    <col min="10" max="10" width="7.3125" style="8" customWidth="1"/>
    <col min="11" max="11" width="9.20703125" style="8" customWidth="1"/>
    <col min="12" max="12" width="8.5234375" style="8" customWidth="1"/>
    <col min="13" max="14" width="9.578125" style="8" customWidth="1"/>
    <col min="15" max="15" width="8.26171875" style="8" customWidth="1"/>
    <col min="16" max="16384" width="13.68359375" style="8"/>
  </cols>
  <sheetData>
    <row r="1" spans="1:15" ht="33" customHeight="1">
      <c r="A1" s="1" t="s">
        <v>0</v>
      </c>
      <c r="B1" s="2" t="s">
        <v>276</v>
      </c>
      <c r="C1" s="2" t="s">
        <v>2</v>
      </c>
      <c r="D1" s="2" t="s">
        <v>1078</v>
      </c>
      <c r="E1" s="2" t="s">
        <v>3</v>
      </c>
      <c r="F1" s="2" t="s">
        <v>4</v>
      </c>
      <c r="G1" s="3" t="s">
        <v>5</v>
      </c>
      <c r="H1" s="3" t="s">
        <v>1079</v>
      </c>
      <c r="I1" s="4" t="s">
        <v>9</v>
      </c>
      <c r="J1" s="5" t="s">
        <v>10</v>
      </c>
      <c r="K1" s="5" t="s">
        <v>11</v>
      </c>
      <c r="L1" s="6" t="s">
        <v>12</v>
      </c>
      <c r="M1" s="87" t="s">
        <v>13</v>
      </c>
      <c r="N1" s="87" t="s">
        <v>14</v>
      </c>
      <c r="O1" s="88" t="s">
        <v>15</v>
      </c>
    </row>
    <row r="2" spans="1:15" ht="15.75" customHeight="1">
      <c r="A2" s="89">
        <v>43102</v>
      </c>
      <c r="B2" s="90" t="s">
        <v>156</v>
      </c>
      <c r="C2" s="91" t="s">
        <v>1081</v>
      </c>
      <c r="D2" s="91">
        <v>4.7</v>
      </c>
      <c r="E2" s="91" t="s">
        <v>362</v>
      </c>
      <c r="F2" s="91" t="s">
        <v>20</v>
      </c>
      <c r="G2" s="91"/>
      <c r="H2" s="91"/>
      <c r="I2" s="12">
        <v>0</v>
      </c>
      <c r="J2" s="13">
        <v>0</v>
      </c>
      <c r="K2" s="13">
        <v>0</v>
      </c>
      <c r="L2" s="92">
        <f>LOG(I2+([3]Values!$D$8*J2)+([3]Values!$D$9*K2)+(M2*[3]Values!D$10)+(N2*[3]Values!$D$11)+1)</f>
        <v>5.6977318551954377E-2</v>
      </c>
      <c r="M2" s="93">
        <v>15</v>
      </c>
      <c r="N2" s="93">
        <v>0</v>
      </c>
      <c r="O2" s="94" t="s">
        <v>23</v>
      </c>
    </row>
    <row r="3" spans="1:15" ht="15.75" customHeight="1">
      <c r="A3" s="89">
        <v>43102</v>
      </c>
      <c r="B3" s="90" t="s">
        <v>235</v>
      </c>
      <c r="C3" s="91" t="s">
        <v>1084</v>
      </c>
      <c r="D3" s="95">
        <v>2</v>
      </c>
      <c r="E3" s="95" t="s">
        <v>1085</v>
      </c>
      <c r="F3" s="95" t="s">
        <v>1086</v>
      </c>
      <c r="G3" s="91"/>
      <c r="H3" s="91"/>
      <c r="I3" s="12">
        <v>0</v>
      </c>
      <c r="J3" s="13">
        <v>0</v>
      </c>
      <c r="K3" s="13">
        <v>0</v>
      </c>
      <c r="L3" s="92">
        <f>LOG(I3+([3]Values!$D$8*J3)+([3]Values!$D$9*K3)+(M3*[3]Values!D$10)+(N3*[3]Values!$D$11)+1)</f>
        <v>1.2009188198087781E-2</v>
      </c>
      <c r="M3" s="93">
        <v>3</v>
      </c>
      <c r="N3" s="93">
        <v>0</v>
      </c>
      <c r="O3" s="94" t="s">
        <v>23</v>
      </c>
    </row>
    <row r="4" spans="1:15" ht="15.75" customHeight="1">
      <c r="A4" s="89">
        <v>43102</v>
      </c>
      <c r="B4" s="90" t="s">
        <v>24</v>
      </c>
      <c r="C4" s="91" t="s">
        <v>397</v>
      </c>
      <c r="D4" s="91">
        <v>3.2</v>
      </c>
      <c r="E4" s="91" t="s">
        <v>478</v>
      </c>
      <c r="F4" s="91" t="s">
        <v>20</v>
      </c>
      <c r="G4" s="91"/>
      <c r="H4" s="91"/>
      <c r="I4" s="12">
        <v>0</v>
      </c>
      <c r="J4" s="13">
        <v>0</v>
      </c>
      <c r="K4" s="13"/>
      <c r="L4" s="92">
        <f>LOG(I4+([3]Values!$D$8*J4)+([3]Values!$D$9*K4)+(M4*[3]Values!D$10)+(N4*[3]Values!$D$11)+1)</f>
        <v>0.42240905925145145</v>
      </c>
      <c r="M4" s="93">
        <v>176</v>
      </c>
      <c r="N4" s="93">
        <v>0</v>
      </c>
      <c r="O4" s="94" t="s">
        <v>23</v>
      </c>
    </row>
    <row r="5" spans="1:15" ht="15.75" customHeight="1">
      <c r="A5" s="89">
        <v>43102</v>
      </c>
      <c r="B5" s="90" t="s">
        <v>118</v>
      </c>
      <c r="C5" s="91" t="s">
        <v>1087</v>
      </c>
      <c r="D5" s="91">
        <v>5.0999999999999996</v>
      </c>
      <c r="E5" s="91" t="s">
        <v>362</v>
      </c>
      <c r="F5" s="91" t="s">
        <v>20</v>
      </c>
      <c r="G5" s="91">
        <v>10</v>
      </c>
      <c r="H5" s="91" t="s">
        <v>134</v>
      </c>
      <c r="I5" s="12">
        <v>0</v>
      </c>
      <c r="J5" s="13">
        <v>2</v>
      </c>
      <c r="K5" s="13"/>
      <c r="L5" s="92">
        <f>LOG(I5+([3]Values!$D$8*J5)+([3]Values!$D$9*K5)+(M5*[3]Values!D$10)+(N5*[3]Values!$D$11)+1)</f>
        <v>0.18168091789411395</v>
      </c>
      <c r="M5" s="93">
        <v>1</v>
      </c>
      <c r="N5" s="93"/>
      <c r="O5" s="94" t="s">
        <v>23</v>
      </c>
    </row>
    <row r="6" spans="1:15" ht="15.75" customHeight="1">
      <c r="A6" s="89">
        <v>43103</v>
      </c>
      <c r="B6" s="90" t="s">
        <v>404</v>
      </c>
      <c r="C6" s="91" t="s">
        <v>1088</v>
      </c>
      <c r="D6" s="91">
        <v>5.0999999999999996</v>
      </c>
      <c r="E6" s="91" t="s">
        <v>362</v>
      </c>
      <c r="F6" s="91" t="s">
        <v>20</v>
      </c>
      <c r="G6" s="91">
        <v>80</v>
      </c>
      <c r="H6" s="91" t="s">
        <v>134</v>
      </c>
      <c r="I6" s="12">
        <v>0</v>
      </c>
      <c r="J6" s="13">
        <v>0</v>
      </c>
      <c r="K6" s="13">
        <v>0</v>
      </c>
      <c r="L6" s="92">
        <f>LOG(I6+([3]Values!$D$8*J6)+([3]Values!$D$9*K6)+(M6*[3]Values!D$10)+(N6*[3]Values!$D$11)+1)</f>
        <v>1.5939572029432809E-2</v>
      </c>
      <c r="M6" s="93">
        <v>4</v>
      </c>
      <c r="N6" s="93">
        <v>0</v>
      </c>
      <c r="O6" s="94" t="s">
        <v>23</v>
      </c>
    </row>
    <row r="7" spans="1:15" ht="15.75" customHeight="1">
      <c r="A7" s="89">
        <v>43103</v>
      </c>
      <c r="B7" s="90" t="s">
        <v>83</v>
      </c>
      <c r="C7" s="91" t="s">
        <v>323</v>
      </c>
      <c r="D7" s="91">
        <v>4.5999999999999996</v>
      </c>
      <c r="E7" s="91" t="s">
        <v>362</v>
      </c>
      <c r="F7" s="91" t="s">
        <v>20</v>
      </c>
      <c r="G7" s="91">
        <v>10</v>
      </c>
      <c r="H7" s="91"/>
      <c r="I7" s="12">
        <v>0</v>
      </c>
      <c r="J7" s="13">
        <v>0</v>
      </c>
      <c r="K7" s="13"/>
      <c r="L7" s="92">
        <f>LOG(I7+([3]Values!$D$8*J7)+([3]Values!$D$9*K7)+(M7*[3]Values!D$10)+(N7*[3]Values!$D$11)+1)</f>
        <v>0.97494270719496412</v>
      </c>
      <c r="M7" s="93">
        <v>727</v>
      </c>
      <c r="N7" s="93">
        <v>52</v>
      </c>
      <c r="O7" s="94" t="s">
        <v>23</v>
      </c>
    </row>
    <row r="8" spans="1:15" ht="15.75" customHeight="1">
      <c r="A8" s="89">
        <v>43104</v>
      </c>
      <c r="B8" s="90" t="s">
        <v>39</v>
      </c>
      <c r="C8" s="91" t="s">
        <v>682</v>
      </c>
      <c r="D8" s="91">
        <v>4.4000000000000004</v>
      </c>
      <c r="E8" s="91" t="s">
        <v>362</v>
      </c>
      <c r="F8" s="91" t="s">
        <v>20</v>
      </c>
      <c r="G8" s="91">
        <v>13</v>
      </c>
      <c r="H8" s="91" t="s">
        <v>134</v>
      </c>
      <c r="I8" s="12">
        <v>0</v>
      </c>
      <c r="J8" s="13">
        <v>0</v>
      </c>
      <c r="K8" s="13">
        <v>0</v>
      </c>
      <c r="L8" s="92">
        <f>LOG(I8+([3]Values!$D$8*J8)+([3]Values!$D$9*K8)+(M8*[3]Values!D$10)+(N8*[3]Values!$D$11)+1)</f>
        <v>4.0400731096553195E-3</v>
      </c>
      <c r="M8" s="93">
        <v>1</v>
      </c>
      <c r="N8" s="93">
        <v>0</v>
      </c>
      <c r="O8" s="94" t="s">
        <v>23</v>
      </c>
    </row>
    <row r="9" spans="1:15" ht="15.75" customHeight="1">
      <c r="A9" s="89">
        <v>43104</v>
      </c>
      <c r="B9" s="90" t="s">
        <v>1023</v>
      </c>
      <c r="C9" s="91" t="s">
        <v>1089</v>
      </c>
      <c r="D9" s="91">
        <v>5.3</v>
      </c>
      <c r="E9" s="91" t="s">
        <v>362</v>
      </c>
      <c r="F9" s="91" t="s">
        <v>20</v>
      </c>
      <c r="G9" s="91">
        <v>14</v>
      </c>
      <c r="H9" s="91" t="s">
        <v>123</v>
      </c>
      <c r="I9" s="12">
        <v>0</v>
      </c>
      <c r="J9" s="13">
        <v>0</v>
      </c>
      <c r="K9" s="13">
        <v>20</v>
      </c>
      <c r="L9" s="92">
        <f>LOG(I9+([3]Values!$D$8*J9)+([3]Values!$D$9*K9)+(M9*[3]Values!D$10)+(N9*[3]Values!$D$11)+1)</f>
        <v>1.2262067386464846</v>
      </c>
      <c r="M9" s="93">
        <v>1655</v>
      </c>
      <c r="N9" s="93"/>
      <c r="O9" s="94" t="s">
        <v>23</v>
      </c>
    </row>
    <row r="10" spans="1:15" ht="15.75" customHeight="1">
      <c r="A10" s="89">
        <v>43104</v>
      </c>
      <c r="B10" s="90" t="s">
        <v>83</v>
      </c>
      <c r="C10" s="91" t="s">
        <v>605</v>
      </c>
      <c r="D10" s="91">
        <v>4.3</v>
      </c>
      <c r="E10" s="91" t="s">
        <v>362</v>
      </c>
      <c r="F10" s="91" t="s">
        <v>20</v>
      </c>
      <c r="G10" s="91">
        <v>8</v>
      </c>
      <c r="H10" s="91"/>
      <c r="I10" s="12">
        <v>0</v>
      </c>
      <c r="J10" s="13">
        <v>0</v>
      </c>
      <c r="K10" s="13">
        <v>46</v>
      </c>
      <c r="L10" s="92">
        <f>LOG(I10+([3]Values!$D$8*J10)+([3]Values!$D$9*K10)+(M10*[3]Values!D$10)+(N10*[3]Values!$D$11)+1)</f>
        <v>0.32729801781022905</v>
      </c>
      <c r="M10" s="93">
        <v>30</v>
      </c>
      <c r="N10" s="93">
        <v>0</v>
      </c>
      <c r="O10" s="94" t="s">
        <v>23</v>
      </c>
    </row>
    <row r="11" spans="1:15" ht="15.75" customHeight="1">
      <c r="A11" s="96">
        <v>43106</v>
      </c>
      <c r="B11" s="90" t="s">
        <v>17</v>
      </c>
      <c r="C11" s="90" t="s">
        <v>1090</v>
      </c>
      <c r="D11" s="90">
        <v>5.0999999999999996</v>
      </c>
      <c r="E11" s="90" t="s">
        <v>362</v>
      </c>
      <c r="F11" s="90" t="s">
        <v>206</v>
      </c>
      <c r="G11" s="90">
        <v>8</v>
      </c>
      <c r="H11" s="90"/>
      <c r="I11" s="12">
        <v>0</v>
      </c>
      <c r="J11" s="13">
        <v>51</v>
      </c>
      <c r="K11" s="13"/>
      <c r="L11" s="92">
        <f>LOG(I11+([3]Values!$D$8*J11)+([3]Values!$D$9*K11)+(M11*[3]Values!D$10)+(N11*[3]Values!$D$11)+1)</f>
        <v>1.1463501299466374</v>
      </c>
      <c r="M11" s="97"/>
      <c r="N11" s="97"/>
      <c r="O11" s="98" t="s">
        <v>23</v>
      </c>
    </row>
    <row r="12" spans="1:15" ht="15.75" customHeight="1">
      <c r="A12" s="89">
        <v>43107</v>
      </c>
      <c r="B12" s="90" t="s">
        <v>226</v>
      </c>
      <c r="C12" s="91" t="s">
        <v>227</v>
      </c>
      <c r="D12" s="90">
        <v>5.5</v>
      </c>
      <c r="E12" s="91" t="s">
        <v>362</v>
      </c>
      <c r="F12" s="91" t="s">
        <v>20</v>
      </c>
      <c r="G12" s="91" t="s">
        <v>1091</v>
      </c>
      <c r="H12" s="91"/>
      <c r="I12" s="12">
        <v>0</v>
      </c>
      <c r="J12" s="13">
        <v>0</v>
      </c>
      <c r="K12" s="13">
        <v>4</v>
      </c>
      <c r="L12" s="92">
        <f>LOG(I12+([3]Values!$D$8*J12)+([3]Values!$D$9*K12)+(M12*[3]Values!D$10)+(N12*[3]Values!$D$11)+1)</f>
        <v>4.3382014617076317E-2</v>
      </c>
      <c r="M12" s="93"/>
      <c r="N12" s="93">
        <v>1</v>
      </c>
      <c r="O12" s="94" t="s">
        <v>23</v>
      </c>
    </row>
    <row r="13" spans="1:15" ht="15.75" customHeight="1">
      <c r="A13" s="96">
        <v>43108</v>
      </c>
      <c r="B13" s="90" t="s">
        <v>615</v>
      </c>
      <c r="C13" s="90" t="s">
        <v>616</v>
      </c>
      <c r="D13" s="90">
        <v>3.4</v>
      </c>
      <c r="E13" s="90" t="s">
        <v>362</v>
      </c>
      <c r="F13" s="90" t="s">
        <v>617</v>
      </c>
      <c r="G13" s="90">
        <v>3</v>
      </c>
      <c r="H13" s="90"/>
      <c r="I13" s="12">
        <v>0</v>
      </c>
      <c r="J13" s="13">
        <v>0</v>
      </c>
      <c r="K13" s="13">
        <v>0</v>
      </c>
      <c r="L13" s="92">
        <f>LOG(I13+([3]Values!$D$8*J13)+([3]Values!$D$9*K13)+(M13*[3]Values!D$10)+(N13*[3]Values!$D$11)+1)</f>
        <v>1.4504892636647506</v>
      </c>
      <c r="M13" s="97">
        <v>2912</v>
      </c>
      <c r="N13" s="97">
        <v>0</v>
      </c>
      <c r="O13" s="98" t="s">
        <v>23</v>
      </c>
    </row>
    <row r="14" spans="1:15" ht="15.75" customHeight="1">
      <c r="A14" s="89">
        <v>43110</v>
      </c>
      <c r="B14" s="90" t="s">
        <v>1092</v>
      </c>
      <c r="C14" s="91" t="s">
        <v>1093</v>
      </c>
      <c r="D14" s="90">
        <v>7.5</v>
      </c>
      <c r="E14" s="91" t="s">
        <v>362</v>
      </c>
      <c r="F14" s="91" t="s">
        <v>20</v>
      </c>
      <c r="G14" s="91">
        <v>12</v>
      </c>
      <c r="H14" s="91"/>
      <c r="I14" s="12">
        <v>0</v>
      </c>
      <c r="J14" s="13">
        <v>0</v>
      </c>
      <c r="K14" s="13">
        <v>0</v>
      </c>
      <c r="L14" s="92">
        <f>LOG(I14+([3]Values!$D$8*J14)+([3]Values!$D$9*K14)+(M14*[3]Values!D$10)+(N14*[3]Values!$D$11)+1)</f>
        <v>3.1314778720401552E-2</v>
      </c>
      <c r="M14" s="93">
        <v>8</v>
      </c>
      <c r="N14" s="93">
        <v>0</v>
      </c>
      <c r="O14" s="94"/>
    </row>
    <row r="15" spans="1:15" ht="15.75" customHeight="1">
      <c r="A15" s="89">
        <v>43110</v>
      </c>
      <c r="B15" s="90" t="s">
        <v>1092</v>
      </c>
      <c r="C15" s="91" t="s">
        <v>1093</v>
      </c>
      <c r="D15" s="90">
        <v>7.5</v>
      </c>
      <c r="E15" s="91" t="s">
        <v>362</v>
      </c>
      <c r="F15" s="91" t="s">
        <v>20</v>
      </c>
      <c r="G15" s="91">
        <v>12</v>
      </c>
      <c r="H15" s="91"/>
      <c r="I15" s="12">
        <v>0</v>
      </c>
      <c r="J15" s="13">
        <v>0</v>
      </c>
      <c r="K15" s="13">
        <v>0</v>
      </c>
      <c r="L15" s="92">
        <f>LOG(I15+([3]Values!$D$8*J15)+([3]Values!$D$9*K15)+(M15*[3]Values!D$10)+(N15*[3]Values!$D$11)+1)</f>
        <v>2.7521705692836823E-2</v>
      </c>
      <c r="M15" s="93">
        <v>7</v>
      </c>
      <c r="N15" s="93"/>
      <c r="O15" s="94" t="s">
        <v>1094</v>
      </c>
    </row>
    <row r="16" spans="1:15" ht="15.75" customHeight="1">
      <c r="A16" s="99"/>
      <c r="B16" s="90"/>
      <c r="C16" s="91"/>
      <c r="D16" s="90">
        <v>7.5</v>
      </c>
      <c r="E16" s="91"/>
      <c r="F16" s="91"/>
      <c r="G16" s="91"/>
      <c r="H16" s="91"/>
      <c r="I16" s="12">
        <v>0</v>
      </c>
      <c r="J16" s="13">
        <v>0</v>
      </c>
      <c r="K16" s="13">
        <v>0</v>
      </c>
      <c r="L16" s="92">
        <f>LOG(I16+([3]Values!$D$8*J16)+([3]Values!$D$9*K16)+(M16*[3]Values!D$10)+(N16*[3]Values!$D$11)+1)</f>
        <v>0</v>
      </c>
      <c r="M16" s="93"/>
      <c r="N16" s="93"/>
      <c r="O16" s="94" t="s">
        <v>1095</v>
      </c>
    </row>
    <row r="17" spans="1:15" ht="15.75" customHeight="1">
      <c r="A17" s="89"/>
      <c r="B17" s="90"/>
      <c r="C17" s="91"/>
      <c r="D17" s="90">
        <v>7.5</v>
      </c>
      <c r="E17" s="91"/>
      <c r="F17" s="91"/>
      <c r="G17" s="91"/>
      <c r="H17" s="91"/>
      <c r="I17" s="12">
        <v>0</v>
      </c>
      <c r="J17" s="13">
        <v>0</v>
      </c>
      <c r="K17" s="13">
        <v>0</v>
      </c>
      <c r="L17" s="92">
        <f>LOG(I17+([3]Values!$D$8*J17)+([3]Values!$D$9*K17)+(M17*[3]Values!D$10)+(N17*[3]Values!$D$11)+1)</f>
        <v>4.0400731096553195E-3</v>
      </c>
      <c r="M17" s="93">
        <v>1</v>
      </c>
      <c r="N17" s="93"/>
      <c r="O17" s="94" t="s">
        <v>23</v>
      </c>
    </row>
    <row r="18" spans="1:15" ht="15.75" customHeight="1">
      <c r="A18" s="89"/>
      <c r="B18" s="90"/>
      <c r="C18" s="91"/>
      <c r="D18" s="90">
        <v>7.5</v>
      </c>
      <c r="E18" s="91"/>
      <c r="F18" s="91"/>
      <c r="G18" s="91"/>
      <c r="H18" s="91"/>
      <c r="I18" s="12">
        <v>0</v>
      </c>
      <c r="J18" s="13">
        <v>0</v>
      </c>
      <c r="K18" s="13">
        <v>0</v>
      </c>
      <c r="L18" s="92">
        <f>LOG(I18+([3]Values!$D$8*J18)+([3]Values!$D$9*K18)+(M18*[3]Values!D$10)+(N18*[3]Values!$D$11)+1)</f>
        <v>0</v>
      </c>
      <c r="M18" s="93"/>
      <c r="N18" s="93"/>
      <c r="O18" s="94" t="s">
        <v>1096</v>
      </c>
    </row>
    <row r="19" spans="1:15" ht="15.75" customHeight="1">
      <c r="A19" s="89"/>
      <c r="B19" s="90"/>
      <c r="C19" s="91"/>
      <c r="D19" s="90">
        <v>7.5</v>
      </c>
      <c r="E19" s="91"/>
      <c r="F19" s="91"/>
      <c r="G19" s="91"/>
      <c r="H19" s="91"/>
      <c r="I19" s="12">
        <v>0</v>
      </c>
      <c r="J19" s="13">
        <v>0</v>
      </c>
      <c r="K19" s="13">
        <v>0</v>
      </c>
      <c r="L19" s="92">
        <f>LOG(I19+([3]Values!$D$8*J19)+([3]Values!$D$9*K19)+(M19*[3]Values!D$10)+(N19*[3]Values!$D$11)+1)</f>
        <v>0</v>
      </c>
      <c r="M19" s="93"/>
      <c r="N19" s="93"/>
      <c r="O19" s="94" t="s">
        <v>1097</v>
      </c>
    </row>
    <row r="20" spans="1:15" ht="15.75" customHeight="1">
      <c r="A20" s="89">
        <v>43110</v>
      </c>
      <c r="B20" s="90" t="s">
        <v>17</v>
      </c>
      <c r="C20" s="91" t="s">
        <v>1090</v>
      </c>
      <c r="D20" s="91">
        <v>4.7</v>
      </c>
      <c r="E20" s="91" t="s">
        <v>362</v>
      </c>
      <c r="F20" s="91" t="s">
        <v>20</v>
      </c>
      <c r="G20" s="91"/>
      <c r="H20" s="91"/>
      <c r="I20" s="12">
        <v>0</v>
      </c>
      <c r="J20" s="13">
        <v>0</v>
      </c>
      <c r="K20" s="13"/>
      <c r="L20" s="92">
        <f>LOG(I20+([3]Values!$D$8*J20)+([3]Values!$D$9*K20)+(M20*[3]Values!D$10)+(N20*[3]Values!$D$11)+1)</f>
        <v>5.1740385326466076E-2</v>
      </c>
      <c r="M20" s="93"/>
      <c r="N20" s="93">
        <v>4</v>
      </c>
      <c r="O20" s="94" t="s">
        <v>23</v>
      </c>
    </row>
    <row r="21" spans="1:15" ht="15.75" customHeight="1">
      <c r="A21" s="89">
        <v>43111</v>
      </c>
      <c r="B21" s="90" t="s">
        <v>17</v>
      </c>
      <c r="C21" s="91" t="s">
        <v>1090</v>
      </c>
      <c r="D21" s="90">
        <v>5.6</v>
      </c>
      <c r="E21" s="91" t="s">
        <v>362</v>
      </c>
      <c r="F21" s="91" t="s">
        <v>20</v>
      </c>
      <c r="G21" s="91">
        <v>8</v>
      </c>
      <c r="H21" s="91"/>
      <c r="I21" s="12">
        <v>0</v>
      </c>
      <c r="J21" s="13">
        <v>5</v>
      </c>
      <c r="K21" s="13">
        <v>200</v>
      </c>
      <c r="L21" s="92">
        <f>LOG(I21+([3]Values!$D$8*J21)+([3]Values!$D$9*K21)+(M21*[3]Values!D$10)+(N21*[3]Values!$D$11)+1)</f>
        <v>0.8844774154748658</v>
      </c>
      <c r="M21" s="93">
        <v>150</v>
      </c>
      <c r="N21" s="93">
        <v>10</v>
      </c>
      <c r="O21" s="94" t="s">
        <v>23</v>
      </c>
    </row>
    <row r="22" spans="1:15" ht="15.75" customHeight="1">
      <c r="A22" s="89">
        <v>43111</v>
      </c>
      <c r="B22" s="90" t="s">
        <v>17</v>
      </c>
      <c r="C22" s="91" t="s">
        <v>472</v>
      </c>
      <c r="D22" s="91">
        <v>5.4</v>
      </c>
      <c r="E22" s="91" t="s">
        <v>362</v>
      </c>
      <c r="F22" s="91" t="s">
        <v>20</v>
      </c>
      <c r="G22" s="91"/>
      <c r="H22" s="91"/>
      <c r="I22" s="12">
        <v>0</v>
      </c>
      <c r="J22" s="13"/>
      <c r="K22" s="13"/>
      <c r="L22" s="92">
        <f>LOG(I22+([3]Values!$D$8*J22)+([3]Values!$D$9*K22)+(M22*[3]Values!D$10)+(N22*[3]Values!$D$11)+1)</f>
        <v>3.8802963825529238E-2</v>
      </c>
      <c r="M22" s="93">
        <v>10</v>
      </c>
      <c r="N22" s="93"/>
      <c r="O22" s="94" t="s">
        <v>23</v>
      </c>
    </row>
    <row r="23" spans="1:15" ht="15.75" customHeight="1">
      <c r="A23" s="89">
        <v>43111</v>
      </c>
      <c r="B23" s="90" t="s">
        <v>241</v>
      </c>
      <c r="C23" s="91" t="s">
        <v>1101</v>
      </c>
      <c r="D23" s="91">
        <v>5.0999999999999996</v>
      </c>
      <c r="E23" s="91" t="s">
        <v>478</v>
      </c>
      <c r="F23" s="91" t="s">
        <v>1102</v>
      </c>
      <c r="G23" s="91">
        <v>3</v>
      </c>
      <c r="H23" s="91"/>
      <c r="I23" s="12">
        <v>0</v>
      </c>
      <c r="J23" s="13">
        <v>0</v>
      </c>
      <c r="K23" s="13">
        <v>12</v>
      </c>
      <c r="L23" s="92">
        <f>LOG(I23+([3]Values!$D$8*J23)+([3]Values!$D$9*K23)+(M23*[3]Values!D$10)+(N23*[3]Values!$D$11)+1)</f>
        <v>0.20015464309191131</v>
      </c>
      <c r="M23" s="93">
        <v>12</v>
      </c>
      <c r="N23" s="93">
        <v>8</v>
      </c>
      <c r="O23" s="94" t="s">
        <v>23</v>
      </c>
    </row>
    <row r="24" spans="1:15" ht="15.75" customHeight="1">
      <c r="A24" s="89">
        <v>43111</v>
      </c>
      <c r="B24" s="90" t="s">
        <v>226</v>
      </c>
      <c r="C24" s="91" t="s">
        <v>1103</v>
      </c>
      <c r="D24" s="100">
        <v>6</v>
      </c>
      <c r="E24" s="91" t="s">
        <v>362</v>
      </c>
      <c r="F24" s="91" t="s">
        <v>20</v>
      </c>
      <c r="G24" s="91"/>
      <c r="H24" s="91" t="s">
        <v>123</v>
      </c>
      <c r="I24" s="12">
        <v>0</v>
      </c>
      <c r="J24" s="13"/>
      <c r="K24" s="13"/>
      <c r="L24" s="92">
        <f>LOG(I24+([3]Values!$D$8*J24)+([3]Values!$D$9*K24)+(M24*[3]Values!D$10)+(N24*[3]Values!$D$11)+1)</f>
        <v>4.0400731096553195E-3</v>
      </c>
      <c r="M24" s="93">
        <v>1</v>
      </c>
      <c r="N24" s="93"/>
      <c r="O24" s="94" t="s">
        <v>23</v>
      </c>
    </row>
    <row r="25" spans="1:15" ht="15.75" customHeight="1">
      <c r="A25" s="101">
        <v>43114</v>
      </c>
      <c r="B25" s="20" t="s">
        <v>1104</v>
      </c>
      <c r="C25" s="20" t="s">
        <v>223</v>
      </c>
      <c r="D25" s="20">
        <v>7.1</v>
      </c>
      <c r="E25" s="20" t="s">
        <v>362</v>
      </c>
      <c r="F25" s="20" t="s">
        <v>20</v>
      </c>
      <c r="G25" s="20">
        <v>36</v>
      </c>
      <c r="H25" s="20" t="s">
        <v>363</v>
      </c>
      <c r="I25" s="12">
        <v>2</v>
      </c>
      <c r="J25" s="21">
        <v>139</v>
      </c>
      <c r="K25" s="21">
        <v>2000</v>
      </c>
      <c r="L25" s="22">
        <f>LOG(I25+([3]Values!$D$8*J25)+([3]Values!$D$9*K25)+(M25*[3]Values!D$10)+(N25*[3]Values!$D$11)+1)</f>
        <v>2.0222146041879578</v>
      </c>
      <c r="M25" s="102">
        <v>1720</v>
      </c>
      <c r="N25" s="102">
        <v>443</v>
      </c>
      <c r="O25" s="103" t="s">
        <v>23</v>
      </c>
    </row>
    <row r="26" spans="1:15" ht="15.75" customHeight="1">
      <c r="A26" s="89">
        <v>43115</v>
      </c>
      <c r="B26" s="90" t="s">
        <v>244</v>
      </c>
      <c r="C26" s="91" t="s">
        <v>1105</v>
      </c>
      <c r="D26" s="91">
        <v>4.9000000000000004</v>
      </c>
      <c r="E26" s="91" t="s">
        <v>362</v>
      </c>
      <c r="F26" s="91" t="s">
        <v>20</v>
      </c>
      <c r="G26" s="91">
        <v>7</v>
      </c>
      <c r="H26" s="91" t="s">
        <v>35</v>
      </c>
      <c r="I26" s="12">
        <v>0</v>
      </c>
      <c r="J26" s="13">
        <v>0</v>
      </c>
      <c r="K26" s="13">
        <v>0</v>
      </c>
      <c r="L26" s="92">
        <f>LOG(I26+([3]Values!$D$8*J26)+([3]Values!$D$9*K26)+(M26*[3]Values!D$10)+(N26*[3]Values!$D$11)+1)</f>
        <v>8.0429091224550799E-3</v>
      </c>
      <c r="M26" s="93">
        <v>2</v>
      </c>
      <c r="N26" s="93">
        <v>0</v>
      </c>
      <c r="O26" s="94" t="s">
        <v>23</v>
      </c>
    </row>
    <row r="27" spans="1:15" ht="15.75" customHeight="1">
      <c r="A27" s="89">
        <v>43117</v>
      </c>
      <c r="B27" s="90" t="s">
        <v>915</v>
      </c>
      <c r="C27" s="91" t="s">
        <v>1106</v>
      </c>
      <c r="D27" s="91">
        <v>3.9</v>
      </c>
      <c r="E27" s="91" t="s">
        <v>362</v>
      </c>
      <c r="F27" s="91" t="s">
        <v>20</v>
      </c>
      <c r="G27" s="91">
        <v>6</v>
      </c>
      <c r="H27" s="91" t="s">
        <v>35</v>
      </c>
      <c r="I27" s="12">
        <v>0</v>
      </c>
      <c r="J27" s="13">
        <v>0</v>
      </c>
      <c r="K27" s="13">
        <v>0</v>
      </c>
      <c r="L27" s="92">
        <f>LOG(I27+([3]Values!$D$8*J27)+([3]Values!$D$9*K27)+(M27*[3]Values!D$10)+(N27*[3]Values!$D$11)+1)</f>
        <v>9.1192102996563829E-2</v>
      </c>
      <c r="M27" s="93">
        <v>25</v>
      </c>
      <c r="N27" s="93">
        <v>0</v>
      </c>
      <c r="O27" s="94" t="s">
        <v>23</v>
      </c>
    </row>
    <row r="28" spans="1:15" ht="12.3">
      <c r="A28" s="89">
        <v>43119</v>
      </c>
      <c r="B28" s="90" t="s">
        <v>1107</v>
      </c>
      <c r="C28" s="91" t="s">
        <v>1108</v>
      </c>
      <c r="D28" s="90">
        <v>6.3</v>
      </c>
      <c r="E28" s="91" t="s">
        <v>362</v>
      </c>
      <c r="F28" s="91" t="s">
        <v>20</v>
      </c>
      <c r="G28" s="91"/>
      <c r="H28" s="91"/>
      <c r="I28" s="12">
        <v>0</v>
      </c>
      <c r="J28" s="13"/>
      <c r="K28" s="13"/>
      <c r="L28" s="92">
        <f>LOG(I28+([3]Values!$D$8*J28)+([3]Values!$D$9*K28)+(M28*[3]Values!D$10)+(N28*[3]Values!$D$11)+1)</f>
        <v>4.616422168147357E-2</v>
      </c>
      <c r="M28" s="93">
        <v>12</v>
      </c>
      <c r="N28" s="93"/>
      <c r="O28" s="94" t="s">
        <v>23</v>
      </c>
    </row>
    <row r="29" spans="1:15" ht="12.3">
      <c r="A29" s="89">
        <v>43120</v>
      </c>
      <c r="B29" s="90" t="s">
        <v>83</v>
      </c>
      <c r="C29" s="91" t="s">
        <v>84</v>
      </c>
      <c r="D29" s="91">
        <v>4.8</v>
      </c>
      <c r="E29" s="91" t="s">
        <v>362</v>
      </c>
      <c r="F29" s="91" t="s">
        <v>20</v>
      </c>
      <c r="G29" s="91">
        <v>24</v>
      </c>
      <c r="H29" s="91"/>
      <c r="I29" s="12">
        <v>0</v>
      </c>
      <c r="J29" s="13">
        <v>0</v>
      </c>
      <c r="K29" s="13"/>
      <c r="L29" s="92">
        <f>LOG(I29+([3]Values!$D$8*J29)+([3]Values!$D$9*K29)+(M29*[3]Values!D$10)+(N29*[3]Values!$D$11)+1)</f>
        <v>8.0429091224550799E-3</v>
      </c>
      <c r="M29" s="93">
        <v>2</v>
      </c>
      <c r="N29" s="93"/>
      <c r="O29" s="94" t="s">
        <v>23</v>
      </c>
    </row>
    <row r="30" spans="1:15" ht="12.6">
      <c r="A30" s="89">
        <v>43122</v>
      </c>
      <c r="B30" s="90" t="s">
        <v>24</v>
      </c>
      <c r="C30" s="91" t="s">
        <v>770</v>
      </c>
      <c r="D30" s="104">
        <v>3</v>
      </c>
      <c r="E30" s="91" t="s">
        <v>362</v>
      </c>
      <c r="F30" s="91" t="s">
        <v>20</v>
      </c>
      <c r="G30" s="91"/>
      <c r="H30" s="91"/>
      <c r="I30" s="12">
        <v>0</v>
      </c>
      <c r="J30" s="13">
        <v>0</v>
      </c>
      <c r="K30" s="13">
        <v>0</v>
      </c>
      <c r="L30" s="92">
        <f>LOG(I30+([3]Values!$D$8*J30)+([3]Values!$D$9*K30)+(M30*[3]Values!D$10)+(N30*[3]Values!$D$11)+1)</f>
        <v>7.4421564252915698E-2</v>
      </c>
      <c r="M30" s="93">
        <v>20</v>
      </c>
      <c r="N30" s="93">
        <v>0</v>
      </c>
      <c r="O30" s="94" t="s">
        <v>23</v>
      </c>
    </row>
    <row r="31" spans="1:15" ht="12.3">
      <c r="A31" s="89">
        <v>43123</v>
      </c>
      <c r="B31" s="90" t="s">
        <v>17</v>
      </c>
      <c r="C31" s="91" t="s">
        <v>472</v>
      </c>
      <c r="D31" s="95">
        <v>4.5</v>
      </c>
      <c r="E31" s="91" t="s">
        <v>362</v>
      </c>
      <c r="F31" s="91" t="s">
        <v>20</v>
      </c>
      <c r="G31" s="91">
        <v>9</v>
      </c>
      <c r="H31" s="91"/>
      <c r="I31" s="12"/>
      <c r="J31" s="13"/>
      <c r="K31" s="13"/>
      <c r="L31" s="92">
        <f>LOG(I31+([3]Values!$D$8*J31)+([3]Values!$D$9*K31)+(M31*[3]Values!D$10)+(N31*[3]Values!$D$11)+1)</f>
        <v>0.25996148747724018</v>
      </c>
      <c r="M31" s="93">
        <v>20</v>
      </c>
      <c r="N31" s="93">
        <v>20</v>
      </c>
      <c r="O31" s="94" t="s">
        <v>23</v>
      </c>
    </row>
    <row r="32" spans="1:15" ht="12.3">
      <c r="A32" s="101">
        <v>43123</v>
      </c>
      <c r="B32" s="20" t="s">
        <v>1109</v>
      </c>
      <c r="C32" s="20" t="s">
        <v>725</v>
      </c>
      <c r="D32" s="105">
        <v>6</v>
      </c>
      <c r="E32" s="20" t="s">
        <v>362</v>
      </c>
      <c r="F32" s="20" t="s">
        <v>20</v>
      </c>
      <c r="G32" s="20">
        <v>45</v>
      </c>
      <c r="H32" s="20" t="s">
        <v>35</v>
      </c>
      <c r="I32" s="12">
        <v>2</v>
      </c>
      <c r="J32" s="21">
        <v>34</v>
      </c>
      <c r="K32" s="21">
        <v>3924</v>
      </c>
      <c r="L32" s="22">
        <f>LOG(I32+([3]Values!$D$8*J32)+([3]Values!$D$9*K32)+(M32*[3]Values!D$10)+(N32*[3]Values!$D$11)+1)</f>
        <v>2.2182936323670726</v>
      </c>
      <c r="M32" s="102">
        <v>5666</v>
      </c>
      <c r="N32" s="102">
        <v>906</v>
      </c>
      <c r="O32" s="103" t="s">
        <v>23</v>
      </c>
    </row>
    <row r="33" spans="1:15" ht="12.3">
      <c r="A33" s="89">
        <v>43123</v>
      </c>
      <c r="B33" s="90" t="s">
        <v>1110</v>
      </c>
      <c r="C33" s="91" t="s">
        <v>1111</v>
      </c>
      <c r="D33" s="90">
        <v>7.9</v>
      </c>
      <c r="E33" s="91" t="s">
        <v>362</v>
      </c>
      <c r="F33" s="91" t="s">
        <v>20</v>
      </c>
      <c r="G33" s="91"/>
      <c r="H33" s="91" t="s">
        <v>134</v>
      </c>
      <c r="I33" s="12">
        <v>0</v>
      </c>
      <c r="J33" s="13">
        <v>0</v>
      </c>
      <c r="K33" s="13">
        <v>0</v>
      </c>
      <c r="L33" s="92">
        <f>LOG(I33+([3]Values!$D$8*J33)+([3]Values!$D$9*K33)+(M33*[3]Values!D$10)+(N33*[3]Values!$D$11)+1)</f>
        <v>4.0400731096553195E-3</v>
      </c>
      <c r="M33" s="93">
        <v>1</v>
      </c>
      <c r="N33" s="93">
        <v>0</v>
      </c>
      <c r="O33" s="94" t="s">
        <v>1112</v>
      </c>
    </row>
    <row r="34" spans="1:15" ht="12.3">
      <c r="A34" s="99"/>
      <c r="B34" s="90"/>
      <c r="C34" s="91"/>
      <c r="D34" s="90">
        <v>7.9</v>
      </c>
      <c r="E34" s="91"/>
      <c r="F34" s="91"/>
      <c r="G34" s="91"/>
      <c r="H34" s="91"/>
      <c r="I34" s="12">
        <v>0</v>
      </c>
      <c r="J34" s="13">
        <v>0</v>
      </c>
      <c r="K34" s="13">
        <v>0</v>
      </c>
      <c r="L34" s="92">
        <f>LOG(I34+([3]Values!$D$8*J34)+([3]Values!$D$9*K34)+(M34*[3]Values!D$10)+(N34*[3]Values!$D$11)+1)</f>
        <v>0</v>
      </c>
      <c r="M34" s="93">
        <v>0</v>
      </c>
      <c r="N34" s="93">
        <v>0</v>
      </c>
      <c r="O34" s="94" t="s">
        <v>1113</v>
      </c>
    </row>
    <row r="35" spans="1:15" ht="12.3">
      <c r="A35" s="89">
        <v>43124</v>
      </c>
      <c r="B35" s="90" t="s">
        <v>661</v>
      </c>
      <c r="C35" s="91" t="s">
        <v>1054</v>
      </c>
      <c r="D35" s="91">
        <v>4.2</v>
      </c>
      <c r="E35" s="91" t="s">
        <v>362</v>
      </c>
      <c r="F35" s="91" t="s">
        <v>20</v>
      </c>
      <c r="G35" s="91"/>
      <c r="H35" s="91"/>
      <c r="I35" s="12">
        <v>0</v>
      </c>
      <c r="J35" s="13">
        <v>0</v>
      </c>
      <c r="K35" s="13">
        <v>0</v>
      </c>
      <c r="L35" s="92">
        <f>LOG(I35+([3]Values!$D$8*J35)+([3]Values!$D$9*K35)+(M35*[3]Values!D$10)+(N35*[3]Values!$D$11)+1)</f>
        <v>1.9834704505085086E-2</v>
      </c>
      <c r="M35" s="93">
        <v>5</v>
      </c>
      <c r="N35" s="93">
        <v>0</v>
      </c>
      <c r="O35" s="94" t="s">
        <v>23</v>
      </c>
    </row>
    <row r="36" spans="1:15" ht="12.3">
      <c r="A36" s="89">
        <v>43130</v>
      </c>
      <c r="B36" s="90" t="s">
        <v>67</v>
      </c>
      <c r="C36" s="91" t="s">
        <v>68</v>
      </c>
      <c r="D36" s="91">
        <v>2.9</v>
      </c>
      <c r="E36" s="91" t="s">
        <v>362</v>
      </c>
      <c r="F36" s="91" t="s">
        <v>69</v>
      </c>
      <c r="G36" s="91">
        <v>0.7</v>
      </c>
      <c r="H36" s="91"/>
      <c r="I36" s="12">
        <v>0</v>
      </c>
      <c r="J36" s="13">
        <v>0</v>
      </c>
      <c r="K36" s="13">
        <v>0</v>
      </c>
      <c r="L36" s="14">
        <f>LOG(I36+([3]Values!$D$8*J36)+([3]Values!$D$9*K36)+(M36*[3]Values!D$10)+(N36*[3]Values!$D$11)+1)</f>
        <v>8.0429091224550799E-3</v>
      </c>
      <c r="M36" s="93">
        <v>2</v>
      </c>
      <c r="N36" s="93">
        <v>0</v>
      </c>
      <c r="O36" s="106" t="s">
        <v>23</v>
      </c>
    </row>
    <row r="37" spans="1:15" ht="12.3">
      <c r="A37" s="101">
        <v>43131</v>
      </c>
      <c r="B37" s="20" t="s">
        <v>216</v>
      </c>
      <c r="C37" s="20" t="s">
        <v>1114</v>
      </c>
      <c r="D37" s="20">
        <v>4.8</v>
      </c>
      <c r="E37" s="20" t="s">
        <v>362</v>
      </c>
      <c r="F37" s="20" t="s">
        <v>20</v>
      </c>
      <c r="G37" s="20">
        <v>23</v>
      </c>
      <c r="H37" s="20"/>
      <c r="I37" s="12">
        <v>1</v>
      </c>
      <c r="J37" s="21">
        <v>8</v>
      </c>
      <c r="K37" s="21"/>
      <c r="L37" s="22">
        <f>LOG(I37+([3]Values!$D$8*J37)+([3]Values!$D$9*K37)+(M37*[3]Values!D$10)+(N37*[3]Values!$D$11)+1)</f>
        <v>0.63403573655153422</v>
      </c>
      <c r="M37" s="102">
        <v>25</v>
      </c>
      <c r="N37" s="102">
        <v>1</v>
      </c>
      <c r="O37" s="103" t="s">
        <v>23</v>
      </c>
    </row>
    <row r="38" spans="1:15" ht="12.3">
      <c r="A38" s="101">
        <v>43131</v>
      </c>
      <c r="B38" s="20" t="s">
        <v>608</v>
      </c>
      <c r="C38" s="20" t="s">
        <v>1115</v>
      </c>
      <c r="D38" s="20">
        <v>6.2</v>
      </c>
      <c r="E38" s="20" t="s">
        <v>362</v>
      </c>
      <c r="F38" s="20" t="s">
        <v>20</v>
      </c>
      <c r="G38" s="20">
        <v>185</v>
      </c>
      <c r="H38" s="20" t="s">
        <v>35</v>
      </c>
      <c r="I38" s="12">
        <v>0</v>
      </c>
      <c r="J38" s="21">
        <v>3</v>
      </c>
      <c r="K38" s="21"/>
      <c r="L38" s="22">
        <f>LOG(I38+([3]Values!$D$8*J38)+([3]Values!$D$9*K38)+(M38*[3]Values!D$10)+(N38*[3]Values!$D$11)+1)</f>
        <v>0.45713176749584178</v>
      </c>
      <c r="M38" s="102">
        <v>50</v>
      </c>
      <c r="N38" s="102">
        <v>20</v>
      </c>
      <c r="O38" s="103" t="s">
        <v>23</v>
      </c>
    </row>
    <row r="39" spans="1:15" ht="12.3">
      <c r="A39" s="107"/>
      <c r="B39" s="20"/>
      <c r="C39" s="20"/>
      <c r="D39" s="20">
        <v>6.2</v>
      </c>
      <c r="E39" s="20"/>
      <c r="F39" s="20"/>
      <c r="G39" s="20"/>
      <c r="H39" s="20"/>
      <c r="I39" s="12">
        <v>1</v>
      </c>
      <c r="J39" s="21">
        <v>6</v>
      </c>
      <c r="K39" s="21"/>
      <c r="L39" s="22">
        <f>LOG(I39+([3]Values!$D$8*J39)+([3]Values!$D$9*K39)+(M39*[3]Values!D$10)+(N39*[3]Values!$D$11)+1)</f>
        <v>0.54780598713147644</v>
      </c>
      <c r="M39" s="102"/>
      <c r="N39" s="102"/>
      <c r="O39" s="103" t="s">
        <v>23</v>
      </c>
    </row>
    <row r="40" spans="1:15" ht="12.3">
      <c r="A40" s="107"/>
      <c r="B40" s="20"/>
      <c r="C40" s="20"/>
      <c r="D40" s="20">
        <v>6.2</v>
      </c>
      <c r="E40" s="20"/>
      <c r="F40" s="20"/>
      <c r="G40" s="20"/>
      <c r="H40" s="20"/>
      <c r="I40" s="12">
        <v>0</v>
      </c>
      <c r="J40" s="21">
        <v>0</v>
      </c>
      <c r="K40" s="21"/>
      <c r="L40" s="22">
        <f>LOG(I40+([3]Values!$D$8*J40)+([3]Values!$D$9*K40)+(M40*[3]Values!D$10)+(N40*[3]Values!$D$11)+1)</f>
        <v>4.0400731096553195E-3</v>
      </c>
      <c r="M40" s="102">
        <v>1</v>
      </c>
      <c r="N40" s="102"/>
      <c r="O40" s="103" t="s">
        <v>23</v>
      </c>
    </row>
    <row r="41" spans="1:15" ht="12.3">
      <c r="A41" s="89">
        <v>43131</v>
      </c>
      <c r="B41" s="90" t="s">
        <v>67</v>
      </c>
      <c r="C41" s="91" t="s">
        <v>68</v>
      </c>
      <c r="D41" s="91">
        <v>2.6</v>
      </c>
      <c r="E41" s="91" t="s">
        <v>362</v>
      </c>
      <c r="F41" s="91" t="s">
        <v>69</v>
      </c>
      <c r="G41" s="91">
        <v>0.7</v>
      </c>
      <c r="H41" s="91"/>
      <c r="I41" s="12">
        <v>0</v>
      </c>
      <c r="J41" s="13">
        <v>0</v>
      </c>
      <c r="K41" s="21"/>
      <c r="L41" s="14">
        <f>LOG(I41+([3]Values!$D$8*J41)+([3]Values!$D$9*K41)+(M41*[3]Values!D$10)+(N41*[3]Values!$D$11)+1)</f>
        <v>8.0429091224550799E-3</v>
      </c>
      <c r="M41" s="93">
        <v>2</v>
      </c>
      <c r="N41" s="93">
        <v>0</v>
      </c>
      <c r="O41" s="103" t="s">
        <v>23</v>
      </c>
    </row>
    <row r="42" spans="1:15" ht="12.3">
      <c r="A42" s="89">
        <v>43131</v>
      </c>
      <c r="B42" s="90" t="s">
        <v>317</v>
      </c>
      <c r="C42" s="91" t="s">
        <v>1116</v>
      </c>
      <c r="D42" s="91">
        <v>3.5</v>
      </c>
      <c r="E42" s="91" t="s">
        <v>362</v>
      </c>
      <c r="F42" s="91" t="s">
        <v>20</v>
      </c>
      <c r="G42" s="91"/>
      <c r="H42" s="91"/>
      <c r="I42" s="12">
        <v>0</v>
      </c>
      <c r="J42" s="13">
        <v>0</v>
      </c>
      <c r="K42" s="21">
        <v>0</v>
      </c>
      <c r="L42" s="14">
        <f>LOG(I42+([3]Values!$D$8*J42)+([3]Values!$D$9*K42)+(M42*[3]Values!D$10)+(N42*[3]Values!$D$11)+1)</f>
        <v>8.0429091224550799E-3</v>
      </c>
      <c r="M42" s="93">
        <v>2</v>
      </c>
      <c r="N42" s="93">
        <v>0</v>
      </c>
      <c r="O42" s="103" t="s">
        <v>23</v>
      </c>
    </row>
    <row r="43" spans="1:15" ht="12.3">
      <c r="A43" s="101">
        <v>43131</v>
      </c>
      <c r="B43" s="20" t="s">
        <v>29</v>
      </c>
      <c r="C43" s="20" t="s">
        <v>457</v>
      </c>
      <c r="D43" s="20">
        <v>5.6</v>
      </c>
      <c r="E43" s="20" t="s">
        <v>362</v>
      </c>
      <c r="F43" s="20" t="s">
        <v>20</v>
      </c>
      <c r="G43" s="20"/>
      <c r="H43" s="20"/>
      <c r="I43" s="12">
        <v>1</v>
      </c>
      <c r="J43" s="21">
        <v>0</v>
      </c>
      <c r="K43" s="21">
        <v>0</v>
      </c>
      <c r="L43" s="22">
        <f>LOG(I43+([3]Values!$D$8*J43)+([3]Values!$D$9*K43)+(M43*[3]Values!D$10)+(N43*[3]Values!$D$11)+1)</f>
        <v>0.30305473010600231</v>
      </c>
      <c r="M43" s="102">
        <v>1</v>
      </c>
      <c r="N43" s="102">
        <v>0</v>
      </c>
      <c r="O43" s="103" t="s">
        <v>23</v>
      </c>
    </row>
    <row r="44" spans="1:15" ht="12.3">
      <c r="A44" s="89">
        <v>43132</v>
      </c>
      <c r="B44" s="90" t="s">
        <v>172</v>
      </c>
      <c r="C44" s="91" t="s">
        <v>1117</v>
      </c>
      <c r="D44" s="91">
        <v>4.0999999999999996</v>
      </c>
      <c r="E44" s="91" t="s">
        <v>362</v>
      </c>
      <c r="F44" s="91" t="s">
        <v>20</v>
      </c>
      <c r="G44" s="91">
        <v>13</v>
      </c>
      <c r="H44" s="91"/>
      <c r="I44" s="12">
        <v>0</v>
      </c>
      <c r="J44" s="13">
        <v>0</v>
      </c>
      <c r="K44" s="13">
        <v>0</v>
      </c>
      <c r="L44" s="92">
        <f>LOG(I44+([3]Values!$D$8*J44)+([3]Values!$D$9*K44)+(M44*[3]Values!D$10)+(N44*[3]Values!$D$11)+1)</f>
        <v>1.9834704505085086E-2</v>
      </c>
      <c r="M44" s="93">
        <v>5</v>
      </c>
      <c r="N44" s="93">
        <v>0</v>
      </c>
      <c r="O44" s="94" t="s">
        <v>23</v>
      </c>
    </row>
    <row r="45" spans="1:15" ht="12.3">
      <c r="A45" s="89">
        <v>43132</v>
      </c>
      <c r="B45" s="90" t="s">
        <v>915</v>
      </c>
      <c r="C45" s="91" t="s">
        <v>1106</v>
      </c>
      <c r="D45" s="91">
        <v>3.9</v>
      </c>
      <c r="E45" s="91" t="s">
        <v>362</v>
      </c>
      <c r="F45" s="91" t="s">
        <v>20</v>
      </c>
      <c r="G45" s="91">
        <v>4</v>
      </c>
      <c r="H45" s="91"/>
      <c r="I45" s="12">
        <v>0</v>
      </c>
      <c r="J45" s="13">
        <v>0</v>
      </c>
      <c r="K45" s="13">
        <v>0</v>
      </c>
      <c r="L45" s="92">
        <f>LOG(I45+([3]Values!$D$8*J45)+([3]Values!$D$9*K45)+(M45*[3]Values!D$10)+(N45*[3]Values!$D$11)+1)</f>
        <v>1.9834704505085086E-2</v>
      </c>
      <c r="M45" s="93">
        <v>5</v>
      </c>
      <c r="N45" s="93">
        <v>0</v>
      </c>
      <c r="O45" s="94" t="s">
        <v>23</v>
      </c>
    </row>
    <row r="46" spans="1:15" ht="12.3">
      <c r="A46" s="89">
        <v>43133</v>
      </c>
      <c r="B46" s="90" t="s">
        <v>83</v>
      </c>
      <c r="C46" s="91" t="s">
        <v>323</v>
      </c>
      <c r="D46" s="91">
        <v>4.3</v>
      </c>
      <c r="E46" s="91" t="s">
        <v>362</v>
      </c>
      <c r="F46" s="91" t="s">
        <v>20</v>
      </c>
      <c r="G46" s="91">
        <v>10</v>
      </c>
      <c r="H46" s="91"/>
      <c r="I46" s="12">
        <v>0</v>
      </c>
      <c r="J46" s="13">
        <v>0</v>
      </c>
      <c r="K46" s="13">
        <v>0</v>
      </c>
      <c r="L46" s="92">
        <f>LOG(I46+([3]Values!$D$8*J46)+([3]Values!$D$9*K46)+(M46*[3]Values!D$10)+(N46*[3]Values!$D$11)+1)</f>
        <v>4.2499189160667347E-2</v>
      </c>
      <c r="M46" s="93">
        <v>11</v>
      </c>
      <c r="N46" s="93">
        <v>0</v>
      </c>
      <c r="O46" s="94" t="s">
        <v>23</v>
      </c>
    </row>
    <row r="47" spans="1:15" ht="12.3">
      <c r="A47" s="89">
        <v>43134</v>
      </c>
      <c r="B47" s="90" t="s">
        <v>132</v>
      </c>
      <c r="C47" s="91" t="s">
        <v>1118</v>
      </c>
      <c r="D47" s="91">
        <v>4.5</v>
      </c>
      <c r="E47" s="91" t="s">
        <v>362</v>
      </c>
      <c r="F47" s="91" t="s">
        <v>20</v>
      </c>
      <c r="G47" s="91"/>
      <c r="H47" s="91"/>
      <c r="I47" s="12">
        <v>0</v>
      </c>
      <c r="J47" s="13">
        <v>0</v>
      </c>
      <c r="K47" s="13">
        <v>0</v>
      </c>
      <c r="L47" s="92">
        <f>LOG(I47+([3]Values!$D$8*J47)+([3]Values!$D$9*K47)+(M47*[3]Values!D$10)+(N47*[3]Values!$D$11)+1)</f>
        <v>5.6977318551954377E-2</v>
      </c>
      <c r="M47" s="93">
        <v>15</v>
      </c>
      <c r="N47" s="93">
        <v>0</v>
      </c>
      <c r="O47" s="94" t="s">
        <v>23</v>
      </c>
    </row>
    <row r="48" spans="1:15" ht="12.3">
      <c r="A48" s="89">
        <v>43135</v>
      </c>
      <c r="B48" s="90" t="s">
        <v>570</v>
      </c>
      <c r="C48" s="91" t="s">
        <v>571</v>
      </c>
      <c r="D48" s="90">
        <v>6.1</v>
      </c>
      <c r="E48" s="91" t="s">
        <v>478</v>
      </c>
      <c r="F48" s="91" t="s">
        <v>20</v>
      </c>
      <c r="G48" s="91">
        <v>16</v>
      </c>
      <c r="H48" s="91" t="s">
        <v>35</v>
      </c>
      <c r="I48" s="12">
        <v>0</v>
      </c>
      <c r="J48" s="13">
        <v>0</v>
      </c>
      <c r="K48" s="13">
        <v>0</v>
      </c>
      <c r="L48" s="92">
        <f>LOG(I48+([3]Values!$D$8*J48)+([3]Values!$D$9*K48)+(M48*[3]Values!D$10)+(N48*[3]Values!$D$11)+1)</f>
        <v>4.0400731096553195E-3</v>
      </c>
      <c r="M48" s="93">
        <v>1</v>
      </c>
      <c r="N48" s="93">
        <v>0</v>
      </c>
      <c r="O48" s="94" t="s">
        <v>23</v>
      </c>
    </row>
    <row r="49" spans="1:15" ht="12.3">
      <c r="A49" s="101">
        <v>43137</v>
      </c>
      <c r="B49" s="20" t="s">
        <v>570</v>
      </c>
      <c r="C49" s="20" t="s">
        <v>571</v>
      </c>
      <c r="D49" s="105">
        <v>6.4</v>
      </c>
      <c r="E49" s="20" t="s">
        <v>478</v>
      </c>
      <c r="F49" s="20" t="s">
        <v>20</v>
      </c>
      <c r="G49" s="20">
        <v>10</v>
      </c>
      <c r="H49" s="20" t="s">
        <v>687</v>
      </c>
      <c r="I49" s="12">
        <v>17</v>
      </c>
      <c r="J49" s="21">
        <v>285</v>
      </c>
      <c r="K49" s="21">
        <v>800</v>
      </c>
      <c r="L49" s="22">
        <f>LOG(I49+([3]Values!$D$8*J49)+([3]Values!$D$9*K49)+(M49*[3]Values!D$10)+(N49*[3]Values!$D$11)+1)</f>
        <v>2.0645097080435528</v>
      </c>
      <c r="M49" s="108">
        <v>1000</v>
      </c>
      <c r="N49" s="102">
        <v>41</v>
      </c>
      <c r="O49" s="103" t="s">
        <v>23</v>
      </c>
    </row>
    <row r="50" spans="1:15" ht="12.3">
      <c r="A50" s="89">
        <v>43139</v>
      </c>
      <c r="B50" s="90" t="s">
        <v>44</v>
      </c>
      <c r="C50" s="91" t="s">
        <v>1119</v>
      </c>
      <c r="D50" s="91">
        <v>5.3</v>
      </c>
      <c r="E50" s="91" t="s">
        <v>362</v>
      </c>
      <c r="F50" s="91" t="s">
        <v>20</v>
      </c>
      <c r="G50" s="91"/>
      <c r="H50" s="91"/>
      <c r="I50" s="12">
        <v>0</v>
      </c>
      <c r="J50" s="13">
        <v>2</v>
      </c>
      <c r="K50" s="13">
        <v>10</v>
      </c>
      <c r="L50" s="92">
        <f>LOG(I50+([3]Values!$D$8*J50)+([3]Values!$D$9*K50)+(M50*[3]Values!D$10)+(N50*[3]Values!$D$11)+1)</f>
        <v>0.29944310063357593</v>
      </c>
      <c r="M50" s="93">
        <v>32</v>
      </c>
      <c r="N50" s="93">
        <v>0</v>
      </c>
      <c r="O50" s="94" t="s">
        <v>23</v>
      </c>
    </row>
    <row r="51" spans="1:15" ht="12.3">
      <c r="A51" s="89">
        <v>43140</v>
      </c>
      <c r="B51" s="90" t="s">
        <v>67</v>
      </c>
      <c r="C51" s="91" t="s">
        <v>68</v>
      </c>
      <c r="D51" s="91">
        <v>2.9</v>
      </c>
      <c r="E51" s="91" t="s">
        <v>362</v>
      </c>
      <c r="F51" s="91" t="s">
        <v>69</v>
      </c>
      <c r="G51" s="91">
        <v>0.7</v>
      </c>
      <c r="H51" s="91"/>
      <c r="I51" s="12">
        <v>0</v>
      </c>
      <c r="J51" s="13">
        <v>0</v>
      </c>
      <c r="K51" s="13">
        <v>0</v>
      </c>
      <c r="L51" s="92">
        <f>LOG(I51+([3]Values!$D$8*J51)+([3]Values!$D$9*K51)+(M51*[3]Values!D$10)+(N51*[3]Values!$D$11)+1)</f>
        <v>1.9834704505085086E-2</v>
      </c>
      <c r="M51" s="93">
        <v>5</v>
      </c>
      <c r="N51" s="93">
        <v>0</v>
      </c>
      <c r="O51" s="94" t="s">
        <v>23</v>
      </c>
    </row>
    <row r="52" spans="1:15" ht="12.3">
      <c r="A52" s="89">
        <v>43140</v>
      </c>
      <c r="B52" s="90" t="s">
        <v>83</v>
      </c>
      <c r="C52" s="91" t="s">
        <v>1120</v>
      </c>
      <c r="D52" s="90">
        <v>4.3</v>
      </c>
      <c r="E52" s="91" t="s">
        <v>362</v>
      </c>
      <c r="F52" s="91" t="s">
        <v>20</v>
      </c>
      <c r="G52" s="91">
        <v>10</v>
      </c>
      <c r="H52" s="91"/>
      <c r="I52" s="12">
        <v>0</v>
      </c>
      <c r="J52" s="13">
        <v>0</v>
      </c>
      <c r="K52" s="13"/>
      <c r="L52" s="92">
        <f>LOG(I52+([3]Values!$D$8*J52)+([3]Values!$D$9*K52)+(M52*[3]Values!D$10)+(N52*[3]Values!$D$11)+1)</f>
        <v>0.1881037847490595</v>
      </c>
      <c r="M52" s="93">
        <v>58</v>
      </c>
      <c r="N52" s="93">
        <v>0</v>
      </c>
      <c r="O52" s="94" t="s">
        <v>23</v>
      </c>
    </row>
    <row r="53" spans="1:15" ht="12.3">
      <c r="A53" s="89">
        <v>43140</v>
      </c>
      <c r="B53" s="90" t="s">
        <v>33</v>
      </c>
      <c r="C53" s="91" t="s">
        <v>1121</v>
      </c>
      <c r="D53" s="90">
        <v>5.8</v>
      </c>
      <c r="E53" s="91" t="s">
        <v>362</v>
      </c>
      <c r="F53" s="91" t="s">
        <v>20</v>
      </c>
      <c r="G53" s="91">
        <v>16</v>
      </c>
      <c r="H53" s="91" t="s">
        <v>35</v>
      </c>
      <c r="I53" s="12">
        <v>0</v>
      </c>
      <c r="J53" s="13">
        <v>0</v>
      </c>
      <c r="K53" s="13"/>
      <c r="L53" s="92">
        <f>LOG(I53+([3]Values!$D$8*J53)+([3]Values!$D$9*K53)+(M53*[3]Values!D$10)+(N53*[3]Values!$D$11)+1)</f>
        <v>4.0400731096553195E-3</v>
      </c>
      <c r="M53" s="93">
        <v>1</v>
      </c>
      <c r="N53" s="93"/>
      <c r="O53" s="94" t="s">
        <v>23</v>
      </c>
    </row>
    <row r="54" spans="1:15" ht="12.3">
      <c r="A54" s="89">
        <v>43140</v>
      </c>
      <c r="B54" s="90" t="s">
        <v>83</v>
      </c>
      <c r="C54" s="91" t="s">
        <v>323</v>
      </c>
      <c r="D54" s="91">
        <v>4.9000000000000004</v>
      </c>
      <c r="E54" s="91" t="s">
        <v>362</v>
      </c>
      <c r="F54" s="91" t="s">
        <v>20</v>
      </c>
      <c r="G54" s="91">
        <v>12</v>
      </c>
      <c r="H54" s="91"/>
      <c r="I54" s="12">
        <v>0</v>
      </c>
      <c r="J54" s="13">
        <v>1</v>
      </c>
      <c r="K54" s="13"/>
      <c r="L54" s="92">
        <f>LOG(I54+([3]Values!$D$8*J54)+([3]Values!$D$9*K54)+(M54*[3]Values!D$10)+(N54*[3]Values!$D$11)+1)</f>
        <v>1.0745281474082147</v>
      </c>
      <c r="M54" s="93">
        <f>580+556</f>
        <v>1136</v>
      </c>
      <c r="N54" s="93"/>
      <c r="O54" s="94" t="s">
        <v>23</v>
      </c>
    </row>
    <row r="55" spans="1:15" ht="12.3">
      <c r="A55" s="109">
        <v>43141</v>
      </c>
      <c r="B55" s="90" t="s">
        <v>1122</v>
      </c>
      <c r="C55" s="90" t="s">
        <v>1123</v>
      </c>
      <c r="D55" s="90">
        <v>4.5999999999999996</v>
      </c>
      <c r="E55" s="90" t="s">
        <v>362</v>
      </c>
      <c r="F55" s="90" t="s">
        <v>1124</v>
      </c>
      <c r="G55" s="90">
        <v>10</v>
      </c>
      <c r="H55" s="90"/>
      <c r="I55" s="12">
        <v>0</v>
      </c>
      <c r="J55" s="13">
        <v>40</v>
      </c>
      <c r="K55" s="13">
        <v>413</v>
      </c>
      <c r="L55" s="92">
        <f>LOG(I55+([3]Values!$D$8*J55)+([3]Values!$D$9*K55)+(M55*[3]Values!D$10)+(N55*[3]Values!$D$11)+1)</f>
        <v>1.3111997827032487</v>
      </c>
      <c r="M55" s="97">
        <v>181</v>
      </c>
      <c r="N55" s="97">
        <v>0</v>
      </c>
      <c r="O55" s="98" t="s">
        <v>23</v>
      </c>
    </row>
    <row r="56" spans="1:15" ht="12.3">
      <c r="A56" s="96">
        <v>43147</v>
      </c>
      <c r="B56" s="90" t="s">
        <v>33</v>
      </c>
      <c r="C56" s="90" t="s">
        <v>34</v>
      </c>
      <c r="D56" s="90">
        <v>7.2</v>
      </c>
      <c r="E56" s="110" t="str">
        <f>HYPERLINK("https://earthquake-report.com/2018/02/16/massive-earthquake-pinotepa-de-don-luis-mexico-february-16-2018-4/","Earthquake")</f>
        <v>Earthquake</v>
      </c>
      <c r="F56" s="90" t="s">
        <v>20</v>
      </c>
      <c r="G56" s="90">
        <v>30</v>
      </c>
      <c r="H56" s="90" t="s">
        <v>123</v>
      </c>
      <c r="I56" s="12">
        <v>0</v>
      </c>
      <c r="J56" s="13">
        <v>2</v>
      </c>
      <c r="K56" s="13">
        <v>5000</v>
      </c>
      <c r="L56" s="92">
        <f>LOG(I56+([3]Values!$D$8*J56)+([3]Values!$D$9*K56)+(M56*[3]Values!D$10)+(N56*[3]Values!$D$11)+1)</f>
        <v>2.5151126585956591</v>
      </c>
      <c r="M56" s="97">
        <v>15170</v>
      </c>
      <c r="N56" s="97">
        <v>2920</v>
      </c>
      <c r="O56" s="98" t="s">
        <v>23</v>
      </c>
    </row>
    <row r="57" spans="1:15" ht="12.3">
      <c r="A57" s="89">
        <v>43148</v>
      </c>
      <c r="B57" s="90" t="s">
        <v>143</v>
      </c>
      <c r="C57" s="91" t="s">
        <v>1125</v>
      </c>
      <c r="D57" s="91">
        <v>4.4000000000000004</v>
      </c>
      <c r="E57" s="110" t="str">
        <f>HYPERLINK("https://earthquake-report.com/2018/02/17/moderate-earthquake-united-kingdom-february-17-2018/","Earthquake")</f>
        <v>Earthquake</v>
      </c>
      <c r="F57" s="91" t="s">
        <v>20</v>
      </c>
      <c r="G57" s="91">
        <v>7</v>
      </c>
      <c r="H57" s="91" t="s">
        <v>134</v>
      </c>
      <c r="I57" s="12">
        <v>0</v>
      </c>
      <c r="J57" s="13">
        <v>0</v>
      </c>
      <c r="K57" s="13">
        <v>0</v>
      </c>
      <c r="L57" s="92">
        <f>LOG(I57+([3]Values!$D$8*J57)+([3]Values!$D$9*K57)+(M57*[3]Values!D$10)+(N57*[3]Values!$D$11)+1)</f>
        <v>2.3695212342431438E-2</v>
      </c>
      <c r="M57" s="93">
        <v>6</v>
      </c>
      <c r="N57" s="93">
        <v>0</v>
      </c>
      <c r="O57" s="94" t="s">
        <v>23</v>
      </c>
    </row>
    <row r="58" spans="1:15" ht="12.3">
      <c r="A58" s="89">
        <v>43150</v>
      </c>
      <c r="B58" s="90" t="s">
        <v>33</v>
      </c>
      <c r="C58" s="91" t="s">
        <v>1126</v>
      </c>
      <c r="D58" s="91">
        <v>4</v>
      </c>
      <c r="E58" s="111" t="s">
        <v>362</v>
      </c>
      <c r="F58" s="91" t="s">
        <v>1127</v>
      </c>
      <c r="G58" s="91">
        <v>5</v>
      </c>
      <c r="H58" s="91"/>
      <c r="I58" s="12">
        <v>0</v>
      </c>
      <c r="J58" s="13">
        <v>0</v>
      </c>
      <c r="K58" s="13">
        <v>0</v>
      </c>
      <c r="L58" s="92">
        <f>LOG(I58+([3]Values!$D$8*J58)+([3]Values!$D$9*K58)+(M58*[3]Values!D$10)+(N58*[3]Values!$D$11)+1)</f>
        <v>9.1192102996563829E-2</v>
      </c>
      <c r="M58" s="93">
        <v>25</v>
      </c>
      <c r="N58" s="93">
        <v>0</v>
      </c>
      <c r="O58" s="94" t="s">
        <v>23</v>
      </c>
    </row>
    <row r="59" spans="1:15" ht="12.3">
      <c r="A59" s="96">
        <v>43151</v>
      </c>
      <c r="B59" s="90" t="s">
        <v>83</v>
      </c>
      <c r="C59" s="90" t="s">
        <v>323</v>
      </c>
      <c r="D59" s="100">
        <v>4</v>
      </c>
      <c r="E59" s="110" t="str">
        <f>HYPERLINK("https://earthquake-report.com/2018/02/20/moderate-earthquake-yunnan-china-february-20-2018/","Earthquake")</f>
        <v>Earthquake</v>
      </c>
      <c r="F59" s="90" t="s">
        <v>20</v>
      </c>
      <c r="G59" s="90">
        <v>6</v>
      </c>
      <c r="H59" s="90"/>
      <c r="I59" s="12">
        <v>0</v>
      </c>
      <c r="J59" s="13">
        <v>0</v>
      </c>
      <c r="K59" s="13">
        <v>16</v>
      </c>
      <c r="L59" s="92">
        <f>LOG(I59+([3]Values!$D$8*J59)+([3]Values!$D$9*K59)+(M59*[3]Values!D$10)+(N59*[3]Values!$D$11)+1)</f>
        <v>1.4735413908931052</v>
      </c>
      <c r="M59" s="97">
        <v>3035</v>
      </c>
      <c r="N59" s="97">
        <v>3</v>
      </c>
      <c r="O59" s="98" t="s">
        <v>23</v>
      </c>
    </row>
    <row r="60" spans="1:15" ht="12.3">
      <c r="A60" s="89">
        <v>43152</v>
      </c>
      <c r="B60" s="90" t="s">
        <v>1128</v>
      </c>
      <c r="C60" s="91" t="s">
        <v>1129</v>
      </c>
      <c r="D60" s="91">
        <v>4.3</v>
      </c>
      <c r="E60" s="110" t="str">
        <f>HYPERLINK("https://earthquake-report.com/2018/02/21/moderate-earthquake-bulgaria-february-21-2018/","Earthquake")</f>
        <v>Earthquake</v>
      </c>
      <c r="F60" s="91" t="s">
        <v>20</v>
      </c>
      <c r="G60" s="91">
        <v>14</v>
      </c>
      <c r="H60" s="91" t="s">
        <v>684</v>
      </c>
      <c r="I60" s="12">
        <v>0</v>
      </c>
      <c r="J60" s="13">
        <v>0</v>
      </c>
      <c r="K60" s="13">
        <v>0</v>
      </c>
      <c r="L60" s="92">
        <f>LOG(I60+([3]Values!$D$8*J60)+([3]Values!$D$9*K60)+(M60*[3]Values!D$10)+(N60*[3]Values!$D$11)+1)</f>
        <v>4.0400731096553195E-3</v>
      </c>
      <c r="M60" s="93">
        <v>1</v>
      </c>
      <c r="N60" s="93">
        <v>0</v>
      </c>
      <c r="O60" s="94" t="s">
        <v>23</v>
      </c>
    </row>
    <row r="61" spans="1:15" ht="12.3">
      <c r="A61" s="101">
        <v>43156</v>
      </c>
      <c r="B61" s="20" t="s">
        <v>583</v>
      </c>
      <c r="C61" s="20" t="s">
        <v>1130</v>
      </c>
      <c r="D61" s="20">
        <v>7.5</v>
      </c>
      <c r="E61" s="110" t="str">
        <f>HYPERLINK("https://earthquake-report.com/2018/02/25/massive-earthquake-new-guinea-papua-new-guinea-february-25-2018/","EQ Sequence")</f>
        <v>EQ Sequence</v>
      </c>
      <c r="F61" s="20" t="s">
        <v>20</v>
      </c>
      <c r="G61" s="20">
        <v>35</v>
      </c>
      <c r="H61" s="20" t="s">
        <v>687</v>
      </c>
      <c r="I61" s="12">
        <v>180</v>
      </c>
      <c r="J61" s="21">
        <v>500</v>
      </c>
      <c r="K61" s="21">
        <v>58300</v>
      </c>
      <c r="L61" s="22">
        <f>LOG(I61+([3]Values!$D$8*J61)+([3]Values!$D$9*K61)+(M61*[3]Values!D$10)+(N61*[3]Values!$D$11)+1)</f>
        <v>3.3272484021002997</v>
      </c>
      <c r="M61" s="108">
        <v>40000</v>
      </c>
      <c r="N61" s="102">
        <v>11761</v>
      </c>
      <c r="O61" s="103" t="s">
        <v>23</v>
      </c>
    </row>
    <row r="62" spans="1:15" ht="12.3">
      <c r="A62" s="99"/>
      <c r="B62" s="90"/>
      <c r="C62" s="91"/>
      <c r="D62" s="20">
        <v>7.5</v>
      </c>
      <c r="E62" s="112"/>
      <c r="F62" s="91"/>
      <c r="G62" s="91"/>
      <c r="H62" s="91"/>
      <c r="I62" s="12">
        <v>0</v>
      </c>
      <c r="J62" s="13">
        <v>0</v>
      </c>
      <c r="K62" s="13">
        <v>0</v>
      </c>
      <c r="L62" s="92">
        <f>LOG(I62+([3]Values!$D$8*J62)+([3]Values!$D$9*K62)+(M62*[3]Values!D$10)+(N62*[3]Values!$D$11)+1)</f>
        <v>4.616422168147357E-2</v>
      </c>
      <c r="M62" s="93">
        <v>12</v>
      </c>
      <c r="N62" s="93">
        <v>0</v>
      </c>
      <c r="O62" s="94" t="s">
        <v>23</v>
      </c>
    </row>
    <row r="63" spans="1:15" ht="12.3">
      <c r="A63" s="89">
        <v>43158</v>
      </c>
      <c r="B63" s="90" t="s">
        <v>1131</v>
      </c>
      <c r="C63" s="91"/>
      <c r="D63" s="95">
        <v>4</v>
      </c>
      <c r="E63" s="91" t="s">
        <v>362</v>
      </c>
      <c r="F63" s="91" t="s">
        <v>20</v>
      </c>
      <c r="G63" s="91"/>
      <c r="H63" s="91"/>
      <c r="I63" s="12">
        <v>0</v>
      </c>
      <c r="J63" s="13">
        <v>0</v>
      </c>
      <c r="K63" s="13">
        <v>0</v>
      </c>
      <c r="L63" s="92">
        <f>LOG(I63+([3]Values!$D$8*J63)+([3]Values!$D$9*K63)+(M63*[3]Values!D$10)+(N63*[3]Values!$D$11)+1)</f>
        <v>4.0400731096553195E-3</v>
      </c>
      <c r="M63" s="93">
        <v>1</v>
      </c>
      <c r="N63" s="93">
        <v>0</v>
      </c>
      <c r="O63" s="94" t="s">
        <v>23</v>
      </c>
    </row>
    <row r="64" spans="1:15" ht="12.3">
      <c r="A64" s="101">
        <v>43159</v>
      </c>
      <c r="B64" s="20" t="s">
        <v>583</v>
      </c>
      <c r="C64" s="20" t="s">
        <v>1130</v>
      </c>
      <c r="D64" s="20">
        <v>6.1</v>
      </c>
      <c r="E64" s="110" t="str">
        <f>HYPERLINK("https://earthquake-report.com/2018/02/25/massive-earthquake-new-guinea-papua-new-guinea-february-25-2018/","Earthquake")</f>
        <v>Earthquake</v>
      </c>
      <c r="F64" s="20" t="s">
        <v>206</v>
      </c>
      <c r="G64" s="20">
        <v>16</v>
      </c>
      <c r="H64" s="20"/>
      <c r="I64" s="12" t="s">
        <v>1132</v>
      </c>
      <c r="J64" s="13"/>
      <c r="K64" s="13"/>
      <c r="L64" s="92">
        <v>0</v>
      </c>
      <c r="M64" s="102"/>
      <c r="N64" s="93"/>
      <c r="O64" s="103" t="s">
        <v>23</v>
      </c>
    </row>
    <row r="65" spans="1:15" ht="12.3">
      <c r="A65" s="89">
        <v>43162</v>
      </c>
      <c r="B65" s="91" t="s">
        <v>317</v>
      </c>
      <c r="C65" s="91" t="s">
        <v>1133</v>
      </c>
      <c r="D65" s="91">
        <v>2.4</v>
      </c>
      <c r="E65" s="91" t="s">
        <v>362</v>
      </c>
      <c r="F65" s="91" t="s">
        <v>20</v>
      </c>
      <c r="G65" s="91"/>
      <c r="H65" s="91"/>
      <c r="I65" s="12">
        <v>0</v>
      </c>
      <c r="J65" s="13">
        <v>0</v>
      </c>
      <c r="K65" s="13">
        <v>0</v>
      </c>
      <c r="L65" s="92">
        <f>LOG(I65+([3]Values!$D$8*J65)+([3]Values!$D$9*K65)+(M65*[3]Values!D$10)+(N65*[3]Values!$D$11)+1)</f>
        <v>1.2009188198087781E-2</v>
      </c>
      <c r="M65" s="93">
        <v>3</v>
      </c>
      <c r="N65" s="93">
        <v>0</v>
      </c>
      <c r="O65" s="103" t="s">
        <v>23</v>
      </c>
    </row>
    <row r="66" spans="1:15" ht="12.3">
      <c r="A66" s="101">
        <v>43163</v>
      </c>
      <c r="B66" s="20" t="s">
        <v>583</v>
      </c>
      <c r="C66" s="20" t="s">
        <v>1130</v>
      </c>
      <c r="D66" s="105">
        <v>6</v>
      </c>
      <c r="E66" s="110" t="str">
        <f>HYPERLINK("https://earthquake-report.com/2018/02/25/massive-earthquake-new-guinea-papua-new-guinea-february-25-2018/","Earthquake")</f>
        <v>Earthquake</v>
      </c>
      <c r="F66" s="20" t="s">
        <v>206</v>
      </c>
      <c r="G66" s="20"/>
      <c r="H66" s="20"/>
      <c r="I66" s="12" t="s">
        <v>1134</v>
      </c>
      <c r="J66" s="21"/>
      <c r="K66" s="21"/>
      <c r="L66" s="22">
        <v>1E-10</v>
      </c>
      <c r="M66" s="102"/>
      <c r="N66" s="102"/>
      <c r="O66" s="103" t="s">
        <v>23</v>
      </c>
    </row>
    <row r="67" spans="1:15" ht="12.3">
      <c r="A67" s="89">
        <v>43163</v>
      </c>
      <c r="B67" s="90" t="s">
        <v>39</v>
      </c>
      <c r="C67" s="91" t="s">
        <v>1135</v>
      </c>
      <c r="D67" s="91">
        <v>4.2</v>
      </c>
      <c r="E67" s="113" t="str">
        <f>HYPERLINK("https://earthquake-report.com/2018/03/04/moderate-earthquake-oklahoma-march-4-2018/","Earthquake")</f>
        <v>Earthquake</v>
      </c>
      <c r="F67" s="91" t="s">
        <v>617</v>
      </c>
      <c r="G67" s="91">
        <v>2</v>
      </c>
      <c r="H67" s="91" t="s">
        <v>134</v>
      </c>
      <c r="I67" s="12">
        <v>0</v>
      </c>
      <c r="J67" s="13">
        <v>0</v>
      </c>
      <c r="K67" s="13">
        <v>0</v>
      </c>
      <c r="L67" s="14">
        <f>LOG(I67+([3]Values!$D$8*J67)+([3]Values!$D$9*K67)+(M67*[3]Values!D$10)+(N67*[3]Values!$D$11)+1)</f>
        <v>4.0400731096553195E-3</v>
      </c>
      <c r="M67" s="93">
        <v>1</v>
      </c>
      <c r="N67" s="93">
        <v>0</v>
      </c>
      <c r="O67" s="106" t="s">
        <v>23</v>
      </c>
    </row>
    <row r="68" spans="1:15" ht="12.3">
      <c r="A68" s="101">
        <v>43165</v>
      </c>
      <c r="B68" s="20" t="s">
        <v>583</v>
      </c>
      <c r="C68" s="20" t="s">
        <v>1130</v>
      </c>
      <c r="D68" s="20">
        <v>6.7</v>
      </c>
      <c r="E68" s="110" t="str">
        <f>HYPERLINK("https://earthquake-report.com/2018/03/06/very-strong-earthquake-new-guinea-papua-new-guinea-march-6-2018/","Earthquake")</f>
        <v>Earthquake</v>
      </c>
      <c r="F68" s="20" t="s">
        <v>206</v>
      </c>
      <c r="G68" s="20"/>
      <c r="H68" s="20"/>
      <c r="I68" s="12" t="s">
        <v>1136</v>
      </c>
      <c r="J68" s="13"/>
      <c r="K68" s="13"/>
      <c r="L68" s="14">
        <v>1E-10</v>
      </c>
      <c r="M68" s="97"/>
      <c r="N68" s="97"/>
      <c r="O68" s="114" t="s">
        <v>23</v>
      </c>
    </row>
    <row r="69" spans="1:15" ht="12.3">
      <c r="A69" s="109">
        <v>43166</v>
      </c>
      <c r="B69" s="90" t="s">
        <v>17</v>
      </c>
      <c r="C69" s="90" t="s">
        <v>1137</v>
      </c>
      <c r="D69" s="90">
        <v>5.4</v>
      </c>
      <c r="E69" s="110" t="str">
        <f>HYPERLINK("https://earthquake-report.com/2018/03/07/strong-earthquake-southern-iran-march-7-2018/","Earthquake")</f>
        <v>Earthquake</v>
      </c>
      <c r="F69" s="90" t="s">
        <v>20</v>
      </c>
      <c r="G69" s="90">
        <v>28</v>
      </c>
      <c r="H69" s="90"/>
      <c r="I69" s="12">
        <v>0</v>
      </c>
      <c r="J69" s="13">
        <v>9</v>
      </c>
      <c r="K69" s="13"/>
      <c r="L69" s="14">
        <f>LOG(I69+([3]Values!$D$8*J69)+([3]Values!$D$9*K69)+(M69*[3]Values!D$10)+(N69*[3]Values!$D$11)+1)</f>
        <v>1.7379751694607675</v>
      </c>
      <c r="M69" s="97">
        <v>5500</v>
      </c>
      <c r="N69" s="97"/>
      <c r="O69" s="114" t="s">
        <v>23</v>
      </c>
    </row>
    <row r="70" spans="1:15" ht="12.3">
      <c r="A70" s="115">
        <v>43166</v>
      </c>
      <c r="B70" s="90" t="s">
        <v>1138</v>
      </c>
      <c r="C70" s="91" t="s">
        <v>1139</v>
      </c>
      <c r="D70" s="91">
        <v>5.3</v>
      </c>
      <c r="E70" s="113" t="str">
        <f>HYPERLINK("https://earthquake-report.com/2018/03/07/moderate-earthquake-myanmar-march-7-2018/","Earthquake")</f>
        <v>Earthquake</v>
      </c>
      <c r="F70" s="91" t="s">
        <v>20</v>
      </c>
      <c r="G70" s="91">
        <v>10</v>
      </c>
      <c r="H70" s="91"/>
      <c r="I70" s="12">
        <v>0</v>
      </c>
      <c r="J70" s="13">
        <v>0</v>
      </c>
      <c r="K70" s="13"/>
      <c r="L70" s="14">
        <f>LOG(I70+([3]Values!$D$8*J70)+([3]Values!$D$9*K70)+(M70*[3]Values!D$10)+(N70*[3]Values!$D$11)+1)</f>
        <v>0.11363339223286183</v>
      </c>
      <c r="M70" s="93">
        <v>32</v>
      </c>
      <c r="N70" s="93"/>
      <c r="O70" s="106" t="s">
        <v>23</v>
      </c>
    </row>
    <row r="71" spans="1:15" ht="12.3">
      <c r="A71" s="115">
        <v>43166</v>
      </c>
      <c r="B71" s="90" t="s">
        <v>1017</v>
      </c>
      <c r="C71" s="91" t="s">
        <v>1140</v>
      </c>
      <c r="D71" s="91">
        <v>3.4</v>
      </c>
      <c r="E71" s="112" t="s">
        <v>362</v>
      </c>
      <c r="F71" s="91" t="s">
        <v>412</v>
      </c>
      <c r="G71" s="91">
        <v>8</v>
      </c>
      <c r="H71" s="91"/>
      <c r="I71" s="12">
        <v>0</v>
      </c>
      <c r="J71" s="13">
        <v>0</v>
      </c>
      <c r="K71" s="13">
        <v>0</v>
      </c>
      <c r="L71" s="14">
        <f>LOG(I71+([3]Values!$D$8*J71)+([3]Values!$D$9*K71)+(M71*[3]Values!D$10)+(N71*[3]Values!$D$11)+1)</f>
        <v>0.10733904346300764</v>
      </c>
      <c r="M71" s="93">
        <v>30</v>
      </c>
      <c r="N71" s="93">
        <v>0</v>
      </c>
      <c r="O71" s="106" t="s">
        <v>23</v>
      </c>
    </row>
    <row r="72" spans="1:15" ht="12.6">
      <c r="A72" s="115">
        <v>43167</v>
      </c>
      <c r="B72" s="90" t="s">
        <v>165</v>
      </c>
      <c r="C72" s="91" t="s">
        <v>1141</v>
      </c>
      <c r="D72" s="91">
        <v>4.3</v>
      </c>
      <c r="E72" s="91" t="s">
        <v>362</v>
      </c>
      <c r="F72" s="91" t="s">
        <v>20</v>
      </c>
      <c r="G72" s="91"/>
      <c r="H72" s="91"/>
      <c r="I72" s="12">
        <v>0</v>
      </c>
      <c r="J72" s="13">
        <v>0</v>
      </c>
      <c r="K72" s="13">
        <v>10</v>
      </c>
      <c r="L72" s="14">
        <f>LOG(I72+([3]Values!$D$8*J72)+([3]Values!$D$9*K72)+(M72*[3]Values!D$10)+(N72*[3]Values!$D$11)+1)</f>
        <v>0.20112929309569588</v>
      </c>
      <c r="M72" s="116">
        <v>40</v>
      </c>
      <c r="N72" s="93">
        <v>1</v>
      </c>
      <c r="O72" s="106" t="s">
        <v>23</v>
      </c>
    </row>
    <row r="73" spans="1:15" ht="12.3">
      <c r="A73" s="115">
        <v>43167</v>
      </c>
      <c r="B73" s="90" t="s">
        <v>1142</v>
      </c>
      <c r="C73" s="91" t="s">
        <v>1143</v>
      </c>
      <c r="D73" s="90">
        <v>5.6</v>
      </c>
      <c r="E73" s="113" t="str">
        <f>HYPERLINK("https://earthquake-report.com/2018/03/08/strong-earthquake-malawi-march-8-2018/","Earthquake")</f>
        <v>Earthquake</v>
      </c>
      <c r="F73" s="91" t="s">
        <v>20</v>
      </c>
      <c r="G73" s="91">
        <v>6</v>
      </c>
      <c r="H73" s="91"/>
      <c r="I73" s="12"/>
      <c r="J73" s="13">
        <v>2</v>
      </c>
      <c r="K73" s="13"/>
      <c r="L73" s="14">
        <f>LOG(I73+([3]Values!$D$8*J73)+([3]Values!$D$9*K73)+(M73*[3]Values!D$10)+(N73*[3]Values!$D$11)+1)</f>
        <v>0.18434408027343688</v>
      </c>
      <c r="M73" s="93">
        <v>2</v>
      </c>
      <c r="N73" s="93"/>
      <c r="O73" s="106" t="s">
        <v>23</v>
      </c>
    </row>
    <row r="74" spans="1:15" ht="12.3">
      <c r="A74" s="115"/>
      <c r="B74" s="90"/>
      <c r="C74" s="91"/>
      <c r="D74" s="90">
        <v>5.6</v>
      </c>
      <c r="E74" s="112"/>
      <c r="F74" s="91"/>
      <c r="G74" s="91"/>
      <c r="H74" s="91"/>
      <c r="I74" s="12">
        <v>0</v>
      </c>
      <c r="J74" s="13">
        <v>10</v>
      </c>
      <c r="K74" s="13">
        <v>2</v>
      </c>
      <c r="L74" s="14">
        <f>LOG(I74+([3]Values!$D$8*J74)+([3]Values!$D$9*K74)+(M74*[3]Values!D$10)+(N74*[3]Values!$D$11)+1)</f>
        <v>0.55856030608693408</v>
      </c>
      <c r="M74" s="93"/>
      <c r="N74" s="93">
        <v>1</v>
      </c>
      <c r="O74" s="106" t="s">
        <v>23</v>
      </c>
    </row>
    <row r="75" spans="1:15" ht="12.3">
      <c r="A75" s="115">
        <v>43167</v>
      </c>
      <c r="B75" s="90" t="s">
        <v>350</v>
      </c>
      <c r="C75" s="91" t="s">
        <v>1144</v>
      </c>
      <c r="D75" s="91">
        <v>4.4000000000000004</v>
      </c>
      <c r="E75" s="91" t="s">
        <v>362</v>
      </c>
      <c r="F75" s="91" t="s">
        <v>20</v>
      </c>
      <c r="G75" s="91"/>
      <c r="H75" s="91"/>
      <c r="I75" s="12">
        <v>0</v>
      </c>
      <c r="J75" s="13">
        <v>0</v>
      </c>
      <c r="K75" s="13">
        <v>0</v>
      </c>
      <c r="L75" s="14">
        <f>LOG(I75+([3]Values!$D$8*J75)+([3]Values!$D$9*K75)+(M75*[3]Values!D$10)+(N75*[3]Values!$D$11)+1)</f>
        <v>4.0400731096553195E-3</v>
      </c>
      <c r="M75" s="93">
        <v>1</v>
      </c>
      <c r="N75" s="93">
        <v>0</v>
      </c>
      <c r="O75" s="106" t="s">
        <v>23</v>
      </c>
    </row>
    <row r="76" spans="1:15" ht="12.3">
      <c r="A76" s="115">
        <v>43167</v>
      </c>
      <c r="B76" s="90" t="s">
        <v>1145</v>
      </c>
      <c r="C76" s="91" t="s">
        <v>1146</v>
      </c>
      <c r="D76" s="91">
        <v>5.2</v>
      </c>
      <c r="E76" s="113" t="str">
        <f>HYPERLINK("https://earthquake-report.com/2018/03/08/moderate-earthquake-borneo-march-8-2018/","Earthquake")</f>
        <v>Earthquake</v>
      </c>
      <c r="F76" s="91" t="s">
        <v>20</v>
      </c>
      <c r="G76" s="91"/>
      <c r="H76" s="91"/>
      <c r="I76" s="12">
        <v>0</v>
      </c>
      <c r="J76" s="13">
        <v>0</v>
      </c>
      <c r="K76" s="13">
        <v>0</v>
      </c>
      <c r="L76" s="14">
        <f>LOG(I76+([3]Values!$D$8*J76)+([3]Values!$D$9*K76)+(M76*[3]Values!D$10)+(N76*[3]Values!$D$11)+1)</f>
        <v>1.9834704505085086E-2</v>
      </c>
      <c r="M76" s="93">
        <v>5</v>
      </c>
      <c r="N76" s="93">
        <v>0</v>
      </c>
      <c r="O76" s="106" t="s">
        <v>23</v>
      </c>
    </row>
    <row r="77" spans="1:15" ht="12.3">
      <c r="A77" s="115">
        <v>43173</v>
      </c>
      <c r="B77" s="90" t="s">
        <v>83</v>
      </c>
      <c r="C77" s="91" t="s">
        <v>323</v>
      </c>
      <c r="D77" s="91">
        <v>3.7</v>
      </c>
      <c r="E77" s="113" t="str">
        <f>HYPERLINK("https://earthquake-report.com/2018/03/14/earthquakes-in-the-world-on-march-14-2018-m2-7-or-more/","Earthquake")</f>
        <v>Earthquake</v>
      </c>
      <c r="F77" s="91" t="s">
        <v>20</v>
      </c>
      <c r="G77" s="91"/>
      <c r="H77" s="91"/>
      <c r="I77" s="12">
        <v>0</v>
      </c>
      <c r="J77" s="13">
        <v>0</v>
      </c>
      <c r="K77" s="13">
        <v>0</v>
      </c>
      <c r="L77" s="14">
        <f>LOG(I77+([3]Values!$D$8*J77)+([3]Values!$D$9*K77)+(M77*[3]Values!D$10)+(N77*[3]Values!$D$11)+1)</f>
        <v>4.0400731096553195E-3</v>
      </c>
      <c r="M77" s="93">
        <v>1</v>
      </c>
      <c r="N77" s="93">
        <v>0</v>
      </c>
      <c r="O77" s="106" t="s">
        <v>23</v>
      </c>
    </row>
    <row r="78" spans="1:15" ht="12.3">
      <c r="A78" s="115">
        <v>43173</v>
      </c>
      <c r="B78" s="90" t="s">
        <v>671</v>
      </c>
      <c r="C78" s="91" t="s">
        <v>1147</v>
      </c>
      <c r="D78" s="91">
        <v>4.8</v>
      </c>
      <c r="E78" s="113" t="str">
        <f>HYPERLINK("https://earthquake-report.com/2018/03/14/moderate-earthquake-namibia-march-14-2018/","Earthquake")</f>
        <v>Earthquake</v>
      </c>
      <c r="F78" s="91" t="s">
        <v>20</v>
      </c>
      <c r="G78" s="91"/>
      <c r="H78" s="91"/>
      <c r="I78" s="12">
        <v>0</v>
      </c>
      <c r="J78" s="13">
        <v>0</v>
      </c>
      <c r="K78" s="13">
        <v>0</v>
      </c>
      <c r="L78" s="14">
        <f>LOG(I78+([3]Values!$D$8*J78)+([3]Values!$D$9*K78)+(M78*[3]Values!D$10)+(N78*[3]Values!$D$11)+1)</f>
        <v>3.2764188278354228E-2</v>
      </c>
      <c r="M78" s="93">
        <v>5</v>
      </c>
      <c r="N78" s="93">
        <v>1</v>
      </c>
      <c r="O78" s="106" t="s">
        <v>23</v>
      </c>
    </row>
    <row r="79" spans="1:15" ht="12.3">
      <c r="A79" s="115">
        <v>43173</v>
      </c>
      <c r="B79" s="90" t="s">
        <v>83</v>
      </c>
      <c r="C79" s="91" t="s">
        <v>871</v>
      </c>
      <c r="D79" s="91">
        <v>3.2</v>
      </c>
      <c r="E79" s="113" t="str">
        <f>HYPERLINK("https://earthquake-report.com/2018/03/14/earthquakes-in-the-world-on-march-14-2018-m2-7-or-more/","Earthquake")</f>
        <v>Earthquake</v>
      </c>
      <c r="F79" s="91" t="s">
        <v>20</v>
      </c>
      <c r="G79" s="91">
        <v>6</v>
      </c>
      <c r="H79" s="91"/>
      <c r="I79" s="12">
        <v>0</v>
      </c>
      <c r="J79" s="13">
        <v>0</v>
      </c>
      <c r="K79" s="13">
        <v>0</v>
      </c>
      <c r="L79" s="14">
        <f>LOG(I79+([3]Values!$D$8*J79)+([3]Values!$D$9*K79)+(M79*[3]Values!D$10)+(N79*[3]Values!$D$11)+1)</f>
        <v>1.9834704505085086E-2</v>
      </c>
      <c r="M79" s="93">
        <v>5</v>
      </c>
      <c r="N79" s="93">
        <v>0</v>
      </c>
      <c r="O79" s="106" t="s">
        <v>23</v>
      </c>
    </row>
    <row r="80" spans="1:15" ht="12.3">
      <c r="A80" s="115">
        <v>43174</v>
      </c>
      <c r="B80" s="90" t="s">
        <v>62</v>
      </c>
      <c r="C80" s="91" t="s">
        <v>996</v>
      </c>
      <c r="D80" s="95">
        <v>5</v>
      </c>
      <c r="E80" s="113" t="str">
        <f>HYPERLINK("https://earthquake-report.com/2018/03/15/moderate-earthquake-mindanao-philippines-march-15-2018/","Earthquake")</f>
        <v>Earthquake</v>
      </c>
      <c r="F80" s="91" t="s">
        <v>20</v>
      </c>
      <c r="G80" s="91"/>
      <c r="H80" s="91" t="s">
        <v>35</v>
      </c>
      <c r="I80" s="12">
        <v>0</v>
      </c>
      <c r="J80" s="13">
        <v>0</v>
      </c>
      <c r="K80" s="13">
        <v>147</v>
      </c>
      <c r="L80" s="14">
        <f>LOG(I80+([3]Values!$D$8*J80)+([3]Values!$D$9*K80)+(M80*[3]Values!D$10)+(N80*[3]Values!$D$11)+1)</f>
        <v>0.6220532060039603</v>
      </c>
      <c r="M80" s="93">
        <v>22</v>
      </c>
      <c r="N80" s="93">
        <v>9</v>
      </c>
      <c r="O80" s="106" t="s">
        <v>23</v>
      </c>
    </row>
    <row r="81" spans="1:15" ht="12.3">
      <c r="A81" s="115">
        <v>43174</v>
      </c>
      <c r="B81" s="90" t="s">
        <v>24</v>
      </c>
      <c r="C81" s="91" t="s">
        <v>1148</v>
      </c>
      <c r="D81" s="95">
        <v>4.7</v>
      </c>
      <c r="E81" s="113" t="str">
        <f>HYPERLINK("https://earthquake-report.com/2018/03/16/moderate-earthquake-kashmir-india-border-region-march-15-2018/","Earthquake")</f>
        <v>Earthquake</v>
      </c>
      <c r="F81" s="91" t="s">
        <v>20</v>
      </c>
      <c r="G81" s="91"/>
      <c r="H81" s="91"/>
      <c r="I81" s="12">
        <v>0</v>
      </c>
      <c r="J81" s="13">
        <v>0</v>
      </c>
      <c r="K81" s="13">
        <v>2</v>
      </c>
      <c r="L81" s="14">
        <f>LOG(I81+([3]Values!$D$8*J81)+([3]Values!$D$9*K81)+(M81*[3]Values!D$10)+(N81*[3]Values!$D$11)+1)</f>
        <v>2.8709728478635805E-2</v>
      </c>
      <c r="M81" s="93"/>
      <c r="N81" s="93">
        <v>1</v>
      </c>
      <c r="O81" s="106" t="s">
        <v>23</v>
      </c>
    </row>
    <row r="82" spans="1:15" ht="12.3">
      <c r="A82" s="115">
        <v>43175</v>
      </c>
      <c r="B82" s="90" t="s">
        <v>915</v>
      </c>
      <c r="C82" s="91" t="s">
        <v>1149</v>
      </c>
      <c r="D82" s="91">
        <v>2.5</v>
      </c>
      <c r="E82" s="113" t="str">
        <f t="shared" ref="E82:E83" si="0">HYPERLINK("https://earthquake-report.com/2018/03/16/earthquakes-in-the-world-on-march-16-2018-m2-7-or-more/","Earthquake")</f>
        <v>Earthquake</v>
      </c>
      <c r="F82" s="91" t="s">
        <v>20</v>
      </c>
      <c r="G82" s="91">
        <v>3</v>
      </c>
      <c r="H82" s="91" t="s">
        <v>134</v>
      </c>
      <c r="I82" s="12">
        <v>0</v>
      </c>
      <c r="J82" s="13">
        <v>0</v>
      </c>
      <c r="K82" s="13">
        <v>0</v>
      </c>
      <c r="L82" s="14">
        <f>LOG(I82+([3]Values!$D$8*J82)+([3]Values!$D$9*K82)+(M82*[3]Values!D$10)+(N82*[3]Values!$D$11)+1)</f>
        <v>1.2009188198087781E-2</v>
      </c>
      <c r="M82" s="93">
        <v>3</v>
      </c>
      <c r="N82" s="93">
        <v>0</v>
      </c>
      <c r="O82" s="106" t="s">
        <v>23</v>
      </c>
    </row>
    <row r="83" spans="1:15" ht="12.6">
      <c r="A83" s="115">
        <v>43175</v>
      </c>
      <c r="B83" s="90" t="s">
        <v>531</v>
      </c>
      <c r="C83" s="91" t="s">
        <v>1150</v>
      </c>
      <c r="D83" s="91"/>
      <c r="E83" s="113" t="str">
        <f t="shared" si="0"/>
        <v>Earthquake</v>
      </c>
      <c r="F83" s="91" t="s">
        <v>1151</v>
      </c>
      <c r="G83" s="91"/>
      <c r="H83" s="91"/>
      <c r="I83" s="12">
        <v>0</v>
      </c>
      <c r="J83" s="13">
        <v>5</v>
      </c>
      <c r="K83" s="13">
        <v>10</v>
      </c>
      <c r="L83" s="14">
        <f>LOG(I83+([3]Values!$D$8*J83)+([3]Values!$D$9*K83)+(M83*[3]Values!D$10)+(N83*[3]Values!$D$11)+1)</f>
        <v>0.47095291643137321</v>
      </c>
      <c r="M83" s="116">
        <v>50</v>
      </c>
      <c r="N83" s="93">
        <v>1</v>
      </c>
      <c r="O83" s="106" t="s">
        <v>23</v>
      </c>
    </row>
    <row r="84" spans="1:15" ht="12.3">
      <c r="A84" s="115">
        <v>43178</v>
      </c>
      <c r="B84" s="90" t="s">
        <v>44</v>
      </c>
      <c r="C84" s="91" t="s">
        <v>1152</v>
      </c>
      <c r="D84" s="91">
        <v>5.2</v>
      </c>
      <c r="E84" s="113" t="str">
        <f>HYPERLINK("https://earthquake-report.com/2018/03/19/moderate-earthquake-java-indonesia-march-19-2018/","Earthquake")</f>
        <v>Earthquake</v>
      </c>
      <c r="F84" s="91" t="s">
        <v>20</v>
      </c>
      <c r="G84" s="91">
        <v>49</v>
      </c>
      <c r="H84" s="91"/>
      <c r="I84" s="12">
        <v>0</v>
      </c>
      <c r="J84" s="13">
        <v>0</v>
      </c>
      <c r="K84" s="13">
        <v>7</v>
      </c>
      <c r="L84" s="14">
        <f>LOG(I84+([3]Values!$D$8*J84)+([3]Values!$D$9*K84)+(M84*[3]Values!D$10)+(N84*[3]Values!$D$11)+1)</f>
        <v>5.9629952325691252E-2</v>
      </c>
      <c r="M84" s="93">
        <v>2</v>
      </c>
      <c r="N84" s="93">
        <v>0</v>
      </c>
      <c r="O84" s="106" t="s">
        <v>23</v>
      </c>
    </row>
    <row r="85" spans="1:15" ht="12.6">
      <c r="A85" s="115">
        <v>43178</v>
      </c>
      <c r="B85" s="90" t="s">
        <v>17</v>
      </c>
      <c r="C85" s="91" t="s">
        <v>1153</v>
      </c>
      <c r="D85" s="91">
        <v>4.9000000000000004</v>
      </c>
      <c r="E85" s="113" t="str">
        <f>HYPERLINK("https://earthquake-report.com/2018/03/19/earthquakes-in-the-world-on-march-19-2018-m2-7-or-more/","Earthquake")</f>
        <v>Earthquake</v>
      </c>
      <c r="F85" s="91" t="s">
        <v>20</v>
      </c>
      <c r="G85" s="91">
        <v>24</v>
      </c>
      <c r="H85" s="91"/>
      <c r="I85" s="12">
        <v>0</v>
      </c>
      <c r="J85" s="13">
        <v>0</v>
      </c>
      <c r="K85" s="13"/>
      <c r="L85" s="14">
        <f>LOG(I85+([3]Values!$D$8*J85)+([3]Values!$D$9*K85)+(M85*[3]Values!D$10)+(N85*[3]Values!$D$11)+1)</f>
        <v>7.4421564252915698E-2</v>
      </c>
      <c r="M85" s="116">
        <v>20</v>
      </c>
      <c r="N85" s="93"/>
      <c r="O85" s="106" t="s">
        <v>23</v>
      </c>
    </row>
    <row r="86" spans="1:15" ht="12.6">
      <c r="A86" s="115">
        <v>43182</v>
      </c>
      <c r="B86" s="90" t="s">
        <v>24</v>
      </c>
      <c r="C86" s="91" t="s">
        <v>1154</v>
      </c>
      <c r="D86" s="91"/>
      <c r="E86" s="113" t="str">
        <f>HYPERLINK("https://earthquake-report.com/2018/03/23/earthquakes-in-the-world-on-march-23-2018-m2-7-or-more/","Earthquake")</f>
        <v>Earthquake</v>
      </c>
      <c r="F86" s="91"/>
      <c r="G86" s="91"/>
      <c r="H86" s="91"/>
      <c r="I86" s="12">
        <v>0</v>
      </c>
      <c r="J86" s="13">
        <v>0</v>
      </c>
      <c r="K86" s="13">
        <v>0</v>
      </c>
      <c r="L86" s="14">
        <f>LOG(I86+([3]Values!$D$8*J86)+([3]Values!$D$9*K86)+(M86*[3]Values!D$10)+(N86*[3]Values!$D$11)+1)</f>
        <v>5.6977318551954377E-2</v>
      </c>
      <c r="M86" s="116">
        <v>15</v>
      </c>
      <c r="N86" s="93">
        <v>0</v>
      </c>
      <c r="O86" s="106" t="s">
        <v>23</v>
      </c>
    </row>
    <row r="87" spans="1:15" ht="12.3">
      <c r="A87" s="115">
        <v>43188</v>
      </c>
      <c r="B87" s="90" t="s">
        <v>1060</v>
      </c>
      <c r="C87" s="91"/>
      <c r="D87" s="90">
        <v>5.6</v>
      </c>
      <c r="E87" s="112" t="s">
        <v>362</v>
      </c>
      <c r="F87" s="91" t="s">
        <v>20</v>
      </c>
      <c r="G87" s="91">
        <v>4</v>
      </c>
      <c r="H87" s="91"/>
      <c r="I87" s="12">
        <v>0</v>
      </c>
      <c r="J87" s="13">
        <v>0</v>
      </c>
      <c r="K87" s="13">
        <v>100</v>
      </c>
      <c r="L87" s="14">
        <f>LOG(I87+([3]Values!$D$8*J87)+([3]Values!$D$9*K87)+(M87*[3]Values!D$10)+(N87*[3]Values!$D$11)+1)</f>
        <v>0.57709425162512418</v>
      </c>
      <c r="M87" s="93">
        <v>77</v>
      </c>
      <c r="N87" s="93">
        <v>7</v>
      </c>
      <c r="O87" s="106" t="s">
        <v>23</v>
      </c>
    </row>
    <row r="88" spans="1:15" ht="12.3">
      <c r="A88" s="109">
        <v>43191</v>
      </c>
      <c r="B88" s="90" t="s">
        <v>17</v>
      </c>
      <c r="C88" s="90" t="s">
        <v>303</v>
      </c>
      <c r="D88" s="90">
        <v>5.3</v>
      </c>
      <c r="E88" s="110" t="str">
        <f>HYPERLINK("https://earthquake-report.com/2018/04/01/moderate-earthquake-western-iran-april-1-2018/","Earthquake")</f>
        <v>Earthquake</v>
      </c>
      <c r="F88" s="90" t="s">
        <v>206</v>
      </c>
      <c r="G88" s="90">
        <v>8</v>
      </c>
      <c r="H88" s="90"/>
      <c r="I88" s="12">
        <v>0</v>
      </c>
      <c r="J88" s="13">
        <v>53</v>
      </c>
      <c r="K88" s="13"/>
      <c r="L88" s="14">
        <f>LOG(I88+([3]Values!$D$8*J88)+([3]Values!$D$9*K88)+(M88*[3]Values!D$10)+(N88*[3]Values!$D$11)+1)</f>
        <v>1.1756436140937832</v>
      </c>
      <c r="M88" s="117">
        <v>50</v>
      </c>
      <c r="N88" s="97"/>
      <c r="O88" s="114" t="s">
        <v>23</v>
      </c>
    </row>
    <row r="89" spans="1:15" ht="12.3">
      <c r="A89" s="115">
        <v>43192</v>
      </c>
      <c r="B89" s="90" t="s">
        <v>1155</v>
      </c>
      <c r="C89" s="91" t="s">
        <v>1156</v>
      </c>
      <c r="D89" s="90">
        <v>6.8</v>
      </c>
      <c r="E89" s="113" t="str">
        <f>HYPERLINK("https://earthquake-report.com/2018/04/02/very-strong-earthquake-southern-bolivia-april-2-2018/","Earthquake")</f>
        <v>Earthquake</v>
      </c>
      <c r="F89" s="91" t="s">
        <v>20</v>
      </c>
      <c r="G89" s="91">
        <v>550</v>
      </c>
      <c r="H89" s="91"/>
      <c r="I89" s="12">
        <v>0</v>
      </c>
      <c r="J89" s="13">
        <v>0</v>
      </c>
      <c r="K89" s="13">
        <v>0</v>
      </c>
      <c r="L89" s="14">
        <f>LOG(I89+([3]Values!$D$8*J89)+([3]Values!$D$9*K89)+(M89*[3]Values!D$10)+(N89*[3]Values!$D$11)+1)</f>
        <v>4.0400731096553195E-3</v>
      </c>
      <c r="M89" s="93">
        <v>1</v>
      </c>
      <c r="N89" s="93">
        <v>0</v>
      </c>
      <c r="O89" s="106" t="s">
        <v>23</v>
      </c>
    </row>
    <row r="90" spans="1:15" ht="12.3">
      <c r="A90" s="115">
        <v>43192</v>
      </c>
      <c r="B90" s="90" t="s">
        <v>404</v>
      </c>
      <c r="C90" s="91" t="s">
        <v>1157</v>
      </c>
      <c r="D90" s="90">
        <v>5.9</v>
      </c>
      <c r="E90" s="113" t="str">
        <f>HYPERLINK("https://earthquake-report.com/2018/04/02/strong-earthquake-el-salvador-april-2-2018/","Earthquake")</f>
        <v>Earthquake</v>
      </c>
      <c r="F90" s="91" t="s">
        <v>20</v>
      </c>
      <c r="G90" s="91">
        <v>50</v>
      </c>
      <c r="H90" s="91"/>
      <c r="I90" s="12">
        <v>0</v>
      </c>
      <c r="J90" s="13">
        <v>0</v>
      </c>
      <c r="K90" s="13"/>
      <c r="L90" s="14">
        <f>LOG(I90+([3]Values!$D$8*J90)+([3]Values!$D$9*K90)+(M90*[3]Values!D$10)+(N90*[3]Values!$D$11)+1)</f>
        <v>2.3695212342431438E-2</v>
      </c>
      <c r="M90" s="93">
        <v>6</v>
      </c>
      <c r="N90" s="93">
        <v>0</v>
      </c>
      <c r="O90" s="106" t="s">
        <v>23</v>
      </c>
    </row>
    <row r="91" spans="1:15" ht="12.3">
      <c r="A91" s="115">
        <v>43193</v>
      </c>
      <c r="B91" s="90" t="s">
        <v>29</v>
      </c>
      <c r="C91" s="91" t="s">
        <v>1037</v>
      </c>
      <c r="D91" s="91">
        <v>4.2</v>
      </c>
      <c r="E91" s="113" t="str">
        <f>HYPERLINK("https://earthquake-report.com/2018/04/03/moderate-earthquake-ecuador-april-3-2018/","Earthquake")</f>
        <v>Earthquake</v>
      </c>
      <c r="F91" s="91" t="s">
        <v>1158</v>
      </c>
      <c r="G91" s="91">
        <v>3</v>
      </c>
      <c r="H91" s="91"/>
      <c r="I91" s="12">
        <v>0</v>
      </c>
      <c r="J91" s="13">
        <v>0</v>
      </c>
      <c r="K91" s="13">
        <v>0</v>
      </c>
      <c r="L91" s="14">
        <f>LOG(I91+([3]Values!$D$8*J91)+([3]Values!$D$9*K91)+(M91*[3]Values!D$10)+(N91*[3]Values!$D$11)+1)</f>
        <v>4.0400731096553195E-3</v>
      </c>
      <c r="M91" s="93">
        <v>1</v>
      </c>
      <c r="N91" s="93">
        <v>0</v>
      </c>
      <c r="O91" s="106" t="s">
        <v>23</v>
      </c>
    </row>
    <row r="92" spans="1:15" ht="12.3">
      <c r="A92" s="115">
        <v>43193</v>
      </c>
      <c r="B92" s="90" t="s">
        <v>346</v>
      </c>
      <c r="C92" s="91" t="s">
        <v>1159</v>
      </c>
      <c r="D92" s="91">
        <v>4.7</v>
      </c>
      <c r="E92" s="113" t="str">
        <f>HYPERLINK("https://earthquake-report.com/2018/04/03/moderate-earthquake-venezuela-april-3-2018/","Earthquake")</f>
        <v>Earthquake</v>
      </c>
      <c r="F92" s="91" t="s">
        <v>20</v>
      </c>
      <c r="G92" s="91">
        <v>5</v>
      </c>
      <c r="H92" s="91"/>
      <c r="I92" s="12">
        <v>0</v>
      </c>
      <c r="J92" s="13">
        <v>0</v>
      </c>
      <c r="K92" s="13">
        <v>9</v>
      </c>
      <c r="L92" s="14">
        <f>LOG(I92+([3]Values!$D$8*J92)+([3]Values!$D$9*K92)+(M92*[3]Values!D$10)+(N92*[3]Values!$D$11)+1)</f>
        <v>0.16111835229553842</v>
      </c>
      <c r="M92" s="93">
        <v>27</v>
      </c>
      <c r="N92" s="93">
        <v>1</v>
      </c>
      <c r="O92" s="106" t="s">
        <v>23</v>
      </c>
    </row>
    <row r="93" spans="1:15" ht="12.3">
      <c r="A93" s="115">
        <v>43195</v>
      </c>
      <c r="B93" s="90" t="s">
        <v>359</v>
      </c>
      <c r="C93" s="91" t="s">
        <v>1160</v>
      </c>
      <c r="D93" s="91">
        <v>5.6</v>
      </c>
      <c r="E93" s="112" t="s">
        <v>362</v>
      </c>
      <c r="F93" s="91" t="s">
        <v>20</v>
      </c>
      <c r="G93" s="91">
        <v>35</v>
      </c>
      <c r="H93" s="91"/>
      <c r="I93" s="12">
        <v>0</v>
      </c>
      <c r="J93" s="13">
        <v>0</v>
      </c>
      <c r="K93" s="13">
        <v>0</v>
      </c>
      <c r="L93" s="14">
        <f>LOG(I93+([3]Values!$D$8*J93)+([3]Values!$D$9*K93)+(M93*[3]Values!D$10)+(N93*[3]Values!$D$11)+1)</f>
        <v>4.0400731096553195E-3</v>
      </c>
      <c r="M93" s="93">
        <v>1</v>
      </c>
      <c r="N93" s="93">
        <v>0</v>
      </c>
      <c r="O93" s="106" t="s">
        <v>23</v>
      </c>
    </row>
    <row r="94" spans="1:15" ht="12.3">
      <c r="A94" s="115">
        <v>43195</v>
      </c>
      <c r="B94" s="90" t="s">
        <v>39</v>
      </c>
      <c r="C94" s="91" t="s">
        <v>1161</v>
      </c>
      <c r="D94" s="91">
        <v>5.3</v>
      </c>
      <c r="E94" s="113" t="str">
        <f>HYPERLINK("https://earthquake-report.com/2018/04/05/moderate-earthquake-channel-islands-beach-california-april-5-2018/","Earthquake")</f>
        <v>Earthquake</v>
      </c>
      <c r="F94" s="91" t="s">
        <v>20</v>
      </c>
      <c r="G94" s="91">
        <v>11</v>
      </c>
      <c r="H94" s="91" t="s">
        <v>35</v>
      </c>
      <c r="I94" s="12">
        <v>0</v>
      </c>
      <c r="J94" s="13">
        <v>0</v>
      </c>
      <c r="K94" s="13">
        <v>0</v>
      </c>
      <c r="L94" s="14">
        <f>LOG(I94+([3]Values!$D$8*J94)+([3]Values!$D$9*K94)+(M94*[3]Values!D$10)+(N94*[3]Values!$D$11)+1)</f>
        <v>4.0400731096553195E-3</v>
      </c>
      <c r="M94" s="93">
        <v>1</v>
      </c>
      <c r="N94" s="93">
        <v>0</v>
      </c>
      <c r="O94" s="106" t="s">
        <v>23</v>
      </c>
    </row>
    <row r="95" spans="1:15" ht="12.3">
      <c r="A95" s="19">
        <v>43197</v>
      </c>
      <c r="B95" s="20" t="s">
        <v>583</v>
      </c>
      <c r="C95" s="20" t="s">
        <v>1130</v>
      </c>
      <c r="D95" s="20">
        <v>6.3</v>
      </c>
      <c r="E95" s="118" t="str">
        <f>HYPERLINK("https://earthquake-report.com/2018/04/07/very-strong-earthquake-new-guinea-papua-new-guinea-april-7-2018/","Earthquake")</f>
        <v>Earthquake</v>
      </c>
      <c r="F95" s="20" t="s">
        <v>206</v>
      </c>
      <c r="G95" s="20"/>
      <c r="H95" s="20"/>
      <c r="I95" s="12">
        <v>4</v>
      </c>
      <c r="J95" s="21">
        <v>50</v>
      </c>
      <c r="K95" s="21"/>
      <c r="L95" s="22">
        <f>LOG(I95+([3]Values!$D$8*J95)+([3]Values!$D$9*K95)+(M95*[3]Values!D$10)+(N95*[3]Values!$D$11)+1)</f>
        <v>1.3204623296645517</v>
      </c>
      <c r="M95" s="102"/>
      <c r="N95" s="102">
        <v>100</v>
      </c>
      <c r="O95" s="103" t="s">
        <v>23</v>
      </c>
    </row>
    <row r="96" spans="1:15" ht="12.3">
      <c r="A96" s="109">
        <v>43198</v>
      </c>
      <c r="B96" s="90" t="s">
        <v>258</v>
      </c>
      <c r="C96" s="90" t="s">
        <v>1162</v>
      </c>
      <c r="D96" s="90">
        <v>5.8</v>
      </c>
      <c r="E96" s="110" t="str">
        <f>HYPERLINK("https://earthquake-report.com/2018/04/08/strong-earthquake-western-honshu-japan-april-8-2018/","Earthquake")</f>
        <v>Earthquake</v>
      </c>
      <c r="F96" s="90" t="s">
        <v>20</v>
      </c>
      <c r="G96" s="90">
        <v>13</v>
      </c>
      <c r="H96" s="119" t="s">
        <v>1163</v>
      </c>
      <c r="I96" s="12">
        <v>0</v>
      </c>
      <c r="J96" s="13">
        <v>9</v>
      </c>
      <c r="K96" s="13">
        <v>171</v>
      </c>
      <c r="L96" s="14">
        <f>LOG(I96+([3]Values!$D$8*J96)+([3]Values!$D$9*K96)+(M96*[3]Values!D$10)+(N96*[3]Values!$D$11)+1)</f>
        <v>1.1871691374061539</v>
      </c>
      <c r="M96" s="97">
        <v>958</v>
      </c>
      <c r="N96" s="97">
        <v>0</v>
      </c>
      <c r="O96" s="114" t="s">
        <v>23</v>
      </c>
    </row>
    <row r="97" spans="1:15" ht="12.3">
      <c r="A97" s="115">
        <v>43199</v>
      </c>
      <c r="B97" s="90" t="s">
        <v>24</v>
      </c>
      <c r="C97" s="91" t="s">
        <v>573</v>
      </c>
      <c r="D97" s="91"/>
      <c r="E97" s="91" t="s">
        <v>675</v>
      </c>
      <c r="F97" s="91" t="s">
        <v>69</v>
      </c>
      <c r="G97" s="91">
        <v>0</v>
      </c>
      <c r="H97" s="91"/>
      <c r="I97" s="12">
        <v>0</v>
      </c>
      <c r="J97" s="13">
        <v>1</v>
      </c>
      <c r="K97" s="13">
        <v>30</v>
      </c>
      <c r="L97" s="14">
        <f>LOG(I97+([3]Values!$D$8*J97)+([3]Values!$D$9*K97)+(M97*[3]Values!D$10)+(N97*[3]Values!$D$11)+1)</f>
        <v>0.30004576352140411</v>
      </c>
      <c r="M97" s="93"/>
      <c r="N97" s="93">
        <v>6</v>
      </c>
      <c r="O97" s="106" t="s">
        <v>23</v>
      </c>
    </row>
    <row r="98" spans="1:15" ht="12.6">
      <c r="A98" s="115">
        <v>43200</v>
      </c>
      <c r="B98" s="90" t="s">
        <v>199</v>
      </c>
      <c r="C98" s="91" t="s">
        <v>1164</v>
      </c>
      <c r="D98" s="91">
        <v>4.5999999999999996</v>
      </c>
      <c r="E98" s="113" t="str">
        <f t="shared" ref="E98:E99" si="1">HYPERLINK("https://earthquake-report.com/2018/04/10/very-strong-earthquake-ovalle-chile-april-10-2018/","Earthquake")</f>
        <v>Earthquake</v>
      </c>
      <c r="F98" s="91" t="s">
        <v>206</v>
      </c>
      <c r="G98" s="91">
        <v>9</v>
      </c>
      <c r="H98" s="91" t="s">
        <v>35</v>
      </c>
      <c r="I98" s="12">
        <v>0</v>
      </c>
      <c r="J98" s="13">
        <v>0</v>
      </c>
      <c r="K98" s="13">
        <v>20</v>
      </c>
      <c r="L98" s="14">
        <f>LOG(I98+([3]Values!$D$8*J98)+([3]Values!$D$9*K98)+(M98*[3]Values!D$10)+(N98*[3]Values!$D$11)+1)</f>
        <v>0.29246008119450223</v>
      </c>
      <c r="M98" s="116">
        <v>50</v>
      </c>
      <c r="N98" s="93">
        <v>4</v>
      </c>
      <c r="O98" s="106" t="s">
        <v>23</v>
      </c>
    </row>
    <row r="99" spans="1:15" ht="12.3">
      <c r="A99" s="115">
        <v>43200</v>
      </c>
      <c r="B99" s="90" t="s">
        <v>359</v>
      </c>
      <c r="C99" s="91" t="s">
        <v>360</v>
      </c>
      <c r="D99" s="90">
        <v>6.2</v>
      </c>
      <c r="E99" s="113" t="str">
        <f t="shared" si="1"/>
        <v>Earthquake</v>
      </c>
      <c r="F99" s="91" t="s">
        <v>20</v>
      </c>
      <c r="G99" s="91">
        <v>76</v>
      </c>
      <c r="H99" s="91" t="s">
        <v>35</v>
      </c>
      <c r="I99" s="12">
        <v>0</v>
      </c>
      <c r="J99" s="13">
        <v>0</v>
      </c>
      <c r="K99" s="13">
        <v>0</v>
      </c>
      <c r="L99" s="14">
        <f>LOG(I99+([3]Values!$D$8*J99)+([3]Values!$D$9*K99)+(M99*[3]Values!D$10)+(N99*[3]Values!$D$11)+1)</f>
        <v>8.0429091224550799E-3</v>
      </c>
      <c r="M99" s="93">
        <v>2</v>
      </c>
      <c r="N99" s="93">
        <v>0</v>
      </c>
      <c r="O99" s="106" t="s">
        <v>23</v>
      </c>
    </row>
    <row r="100" spans="1:15" ht="12.3">
      <c r="A100" s="115">
        <v>43200</v>
      </c>
      <c r="B100" s="90" t="s">
        <v>24</v>
      </c>
      <c r="C100" s="91" t="s">
        <v>770</v>
      </c>
      <c r="D100" s="91">
        <v>4.5999999999999996</v>
      </c>
      <c r="E100" s="113" t="str">
        <f>HYPERLINK("https://earthquake-report.com/2018/04/10/moderate-earthquake-southern-india-april-10-2018/","Earthquake")</f>
        <v>Earthquake</v>
      </c>
      <c r="F100" s="91" t="s">
        <v>69</v>
      </c>
      <c r="G100" s="91"/>
      <c r="H100" s="91" t="s">
        <v>35</v>
      </c>
      <c r="I100" s="12"/>
      <c r="J100" s="13">
        <v>1</v>
      </c>
      <c r="K100" s="13"/>
      <c r="L100" s="14">
        <f>LOG(I100+([3]Values!$D$8*J100)+([3]Values!$D$9*K100)+(M100*[3]Values!D$10)+(N100*[3]Values!$D$11)+1)</f>
        <v>0.23611968804342587</v>
      </c>
      <c r="M100" s="93">
        <v>50</v>
      </c>
      <c r="N100" s="93"/>
      <c r="O100" s="106" t="s">
        <v>23</v>
      </c>
    </row>
    <row r="101" spans="1:15" ht="12.6">
      <c r="A101" s="115">
        <v>43203</v>
      </c>
      <c r="B101" s="90" t="s">
        <v>615</v>
      </c>
      <c r="C101" s="91" t="s">
        <v>616</v>
      </c>
      <c r="D101" s="91">
        <v>2.8</v>
      </c>
      <c r="E101" s="91" t="s">
        <v>362</v>
      </c>
      <c r="F101" s="91" t="s">
        <v>617</v>
      </c>
      <c r="G101" s="91">
        <v>3</v>
      </c>
      <c r="H101" s="91" t="s">
        <v>134</v>
      </c>
      <c r="I101" s="12">
        <v>0</v>
      </c>
      <c r="J101" s="13">
        <v>0</v>
      </c>
      <c r="K101" s="13">
        <v>0</v>
      </c>
      <c r="L101" s="14">
        <f>LOG(I101+([3]Values!$D$8*J101)+([3]Values!$D$9*K101)+(M101*[3]Values!D$10)+(N101*[3]Values!$D$11)+1)</f>
        <v>7.4421564252915698E-2</v>
      </c>
      <c r="M101" s="116">
        <v>20</v>
      </c>
      <c r="N101" s="93">
        <v>0</v>
      </c>
      <c r="O101" s="106" t="s">
        <v>23</v>
      </c>
    </row>
    <row r="102" spans="1:15" ht="12.3">
      <c r="A102" s="115">
        <v>43206</v>
      </c>
      <c r="B102" s="90" t="s">
        <v>726</v>
      </c>
      <c r="C102" s="91" t="s">
        <v>1165</v>
      </c>
      <c r="D102" s="91">
        <v>2.9</v>
      </c>
      <c r="E102" s="91" t="s">
        <v>362</v>
      </c>
      <c r="F102" s="91" t="s">
        <v>69</v>
      </c>
      <c r="G102" s="91">
        <v>1</v>
      </c>
      <c r="H102" s="91" t="s">
        <v>684</v>
      </c>
      <c r="I102" s="12">
        <v>0</v>
      </c>
      <c r="J102" s="13">
        <v>0</v>
      </c>
      <c r="K102" s="13">
        <v>0</v>
      </c>
      <c r="L102" s="14">
        <f>LOG(I102+([3]Values!$D$8*J102)+([3]Values!$D$9*K102)+(M102*[3]Values!D$10)+(N102*[3]Values!$D$11)+1)</f>
        <v>4.0400731096553195E-3</v>
      </c>
      <c r="M102" s="93">
        <v>1</v>
      </c>
      <c r="N102" s="93">
        <v>0</v>
      </c>
      <c r="O102" s="106" t="s">
        <v>23</v>
      </c>
    </row>
    <row r="103" spans="1:15" ht="12.3">
      <c r="A103" s="19">
        <v>43208</v>
      </c>
      <c r="B103" s="20" t="s">
        <v>44</v>
      </c>
      <c r="C103" s="20" t="s">
        <v>1166</v>
      </c>
      <c r="D103" s="20">
        <v>4.4000000000000004</v>
      </c>
      <c r="E103" s="118" t="str">
        <f>HYPERLINK("https://earthquake-report.com/2018/04/18/moderate-earthquake-java-indonesia-april-18-2018/","Earthquake")</f>
        <v>Earthquake</v>
      </c>
      <c r="F103" s="20" t="s">
        <v>20</v>
      </c>
      <c r="G103" s="20">
        <v>4</v>
      </c>
      <c r="H103" s="20" t="s">
        <v>35</v>
      </c>
      <c r="I103" s="12">
        <v>2</v>
      </c>
      <c r="J103" s="21">
        <v>41</v>
      </c>
      <c r="K103" s="21">
        <v>2115</v>
      </c>
      <c r="L103" s="22">
        <f>LOG(I103+([3]Values!$D$8*J103)+([3]Values!$D$9*K103)+(M103*[3]Values!D$10)+(N103*[3]Values!$D$11)+1)</f>
        <v>1.8067181379933415</v>
      </c>
      <c r="M103" s="102">
        <v>481</v>
      </c>
      <c r="N103" s="102">
        <v>231</v>
      </c>
      <c r="O103" s="103" t="s">
        <v>23</v>
      </c>
    </row>
    <row r="104" spans="1:15" ht="12.6">
      <c r="A104" s="115">
        <v>43209</v>
      </c>
      <c r="B104" s="90" t="s">
        <v>17</v>
      </c>
      <c r="C104" s="91" t="s">
        <v>53</v>
      </c>
      <c r="D104" s="91">
        <v>5.8</v>
      </c>
      <c r="E104" s="91" t="s">
        <v>362</v>
      </c>
      <c r="F104" s="91" t="s">
        <v>20</v>
      </c>
      <c r="G104" s="91">
        <v>10</v>
      </c>
      <c r="H104" s="91"/>
      <c r="I104" s="12">
        <v>0</v>
      </c>
      <c r="J104" s="13">
        <v>0</v>
      </c>
      <c r="K104" s="13">
        <v>0</v>
      </c>
      <c r="L104" s="14">
        <f>LOG(I104+([3]Values!$D$8*J104)+([3]Values!$D$9*K104)+(M104*[3]Values!D$10)+(N104*[3]Values!$D$11)+1)</f>
        <v>9.1192102996563829E-2</v>
      </c>
      <c r="M104" s="116">
        <v>25</v>
      </c>
      <c r="N104" s="93">
        <v>0</v>
      </c>
      <c r="O104" s="106" t="s">
        <v>23</v>
      </c>
    </row>
    <row r="105" spans="1:15" ht="12.3">
      <c r="A105" s="115">
        <v>43211</v>
      </c>
      <c r="B105" s="90" t="s">
        <v>44</v>
      </c>
      <c r="C105" s="91" t="s">
        <v>1166</v>
      </c>
      <c r="D105" s="91">
        <v>3.4</v>
      </c>
      <c r="E105" s="91" t="s">
        <v>362</v>
      </c>
      <c r="F105" s="91" t="s">
        <v>206</v>
      </c>
      <c r="G105" s="91">
        <v>1</v>
      </c>
      <c r="H105" s="91"/>
      <c r="I105" s="12">
        <v>0</v>
      </c>
      <c r="J105" s="13">
        <v>6</v>
      </c>
      <c r="K105" s="13">
        <v>0</v>
      </c>
      <c r="L105" s="14">
        <f>LOG(I105+([3]Values!$D$8*J105)+([3]Values!$D$9*K105)+(M105*[3]Values!D$10)+(N105*[3]Values!$D$11)+1)</f>
        <v>0.40316416662375359</v>
      </c>
      <c r="M105" s="93">
        <v>0</v>
      </c>
      <c r="N105" s="93">
        <v>0</v>
      </c>
      <c r="O105" s="106" t="s">
        <v>23</v>
      </c>
    </row>
    <row r="106" spans="1:15" ht="12.6">
      <c r="A106" s="115">
        <v>43213</v>
      </c>
      <c r="B106" s="90" t="s">
        <v>378</v>
      </c>
      <c r="C106" s="91" t="s">
        <v>1167</v>
      </c>
      <c r="D106" s="91">
        <v>5.2</v>
      </c>
      <c r="E106" s="91" t="s">
        <v>362</v>
      </c>
      <c r="F106" s="91" t="s">
        <v>20</v>
      </c>
      <c r="G106" s="91">
        <v>113</v>
      </c>
      <c r="H106" s="91"/>
      <c r="I106" s="12">
        <v>0</v>
      </c>
      <c r="J106" s="13">
        <v>0</v>
      </c>
      <c r="K106" s="13">
        <v>0</v>
      </c>
      <c r="L106" s="14">
        <f>LOG(I106+([3]Values!$D$8*J106)+([3]Values!$D$9*K106)+(M106*[3]Values!D$10)+(N106*[3]Values!$D$11)+1)</f>
        <v>3.8802963825529238E-2</v>
      </c>
      <c r="M106" s="116">
        <v>10</v>
      </c>
      <c r="N106" s="93">
        <v>0</v>
      </c>
      <c r="O106" s="106" t="s">
        <v>23</v>
      </c>
    </row>
    <row r="107" spans="1:15" ht="12.3">
      <c r="A107" s="109">
        <v>43214</v>
      </c>
      <c r="B107" s="90" t="s">
        <v>105</v>
      </c>
      <c r="C107" s="90" t="s">
        <v>1168</v>
      </c>
      <c r="D107" s="90">
        <v>5.3</v>
      </c>
      <c r="E107" s="90" t="s">
        <v>362</v>
      </c>
      <c r="F107" s="90" t="s">
        <v>20</v>
      </c>
      <c r="G107" s="90">
        <v>13</v>
      </c>
      <c r="H107" s="90" t="s">
        <v>123</v>
      </c>
      <c r="I107" s="12">
        <v>0</v>
      </c>
      <c r="J107" s="13">
        <v>39</v>
      </c>
      <c r="K107" s="13">
        <v>700</v>
      </c>
      <c r="L107" s="14">
        <f>LOG(I107+([3]Values!$D$8*J107)+([3]Values!$D$9*K107)+(M107*[3]Values!D$10)+(N107*[3]Values!$D$11)+1)</f>
        <v>1.4310143900538295</v>
      </c>
      <c r="M107" s="97">
        <v>80</v>
      </c>
      <c r="N107" s="97">
        <v>77</v>
      </c>
      <c r="O107" s="114" t="s">
        <v>23</v>
      </c>
    </row>
    <row r="108" spans="1:15" ht="12.3">
      <c r="A108" s="115">
        <v>43216</v>
      </c>
      <c r="B108" s="90" t="s">
        <v>105</v>
      </c>
      <c r="C108" s="91" t="s">
        <v>1169</v>
      </c>
      <c r="D108" s="91">
        <v>3.7</v>
      </c>
      <c r="E108" s="91" t="s">
        <v>362</v>
      </c>
      <c r="F108" s="91" t="s">
        <v>20</v>
      </c>
      <c r="G108" s="91">
        <v>5</v>
      </c>
      <c r="H108" s="91"/>
      <c r="I108" s="12">
        <v>0</v>
      </c>
      <c r="J108" s="13">
        <v>1</v>
      </c>
      <c r="K108" s="13">
        <v>0</v>
      </c>
      <c r="L108" s="14">
        <f>LOG(I108+([3]Values!$D$8*J108)+([3]Values!$D$9*K108)+(M108*[3]Values!D$10)+(N108*[3]Values!$D$11)+1)</f>
        <v>9.8658390713159613E-2</v>
      </c>
      <c r="M108" s="93">
        <v>0</v>
      </c>
      <c r="N108" s="93">
        <v>0</v>
      </c>
      <c r="O108" s="106" t="s">
        <v>23</v>
      </c>
    </row>
    <row r="109" spans="1:15" ht="12.3">
      <c r="A109" s="115">
        <v>43216</v>
      </c>
      <c r="B109" s="90" t="s">
        <v>652</v>
      </c>
      <c r="C109" s="91" t="s">
        <v>1170</v>
      </c>
      <c r="D109" s="91">
        <v>4.5</v>
      </c>
      <c r="E109" s="91" t="s">
        <v>362</v>
      </c>
      <c r="F109" s="91" t="s">
        <v>20</v>
      </c>
      <c r="G109" s="91">
        <v>11</v>
      </c>
      <c r="H109" s="91"/>
      <c r="I109" s="12">
        <v>0</v>
      </c>
      <c r="J109" s="13">
        <v>0</v>
      </c>
      <c r="K109" s="13">
        <v>0</v>
      </c>
      <c r="L109" s="14">
        <f>LOG(I109+([3]Values!$D$8*J109)+([3]Values!$D$9*K109)+(M109*[3]Values!D$10)+(N109*[3]Values!$D$11)+1)</f>
        <v>8.0429091224550799E-3</v>
      </c>
      <c r="M109" s="93">
        <v>2</v>
      </c>
      <c r="N109" s="93">
        <v>0</v>
      </c>
      <c r="O109" s="106" t="s">
        <v>23</v>
      </c>
    </row>
    <row r="110" spans="1:15" ht="12.3">
      <c r="A110" s="115">
        <v>43217</v>
      </c>
      <c r="B110" s="90" t="s">
        <v>346</v>
      </c>
      <c r="C110" s="91" t="s">
        <v>1171</v>
      </c>
      <c r="D110" s="91">
        <v>4.7</v>
      </c>
      <c r="E110" s="113" t="str">
        <f>HYPERLINK("https://earthquake-report.com/2018/04/27/moderate-earthquake-near-coast-of-venezuela-april-27-2018/","Earthquake")</f>
        <v>Earthquake</v>
      </c>
      <c r="F110" s="91" t="str">
        <f>HYPERLINK("https://earthquake-report.com/2018/04/27/moderate-earthquake-near-coast-of-venezuela-april-27-2018/","tectonic")</f>
        <v>tectonic</v>
      </c>
      <c r="G110" s="91"/>
      <c r="H110" s="91"/>
      <c r="I110" s="12">
        <v>0</v>
      </c>
      <c r="J110" s="13">
        <v>0</v>
      </c>
      <c r="K110" s="13">
        <v>0</v>
      </c>
      <c r="L110" s="14">
        <f>LOG(I110+([3]Values!$D$8*J110)+([3]Values!$D$9*K110)+(M110*[3]Values!D$10)+(N110*[3]Values!$D$11)+1)</f>
        <v>1.9834704505085086E-2</v>
      </c>
      <c r="M110" s="93">
        <v>5</v>
      </c>
      <c r="N110" s="93">
        <v>0</v>
      </c>
      <c r="O110" s="106" t="s">
        <v>23</v>
      </c>
    </row>
    <row r="111" spans="1:15" ht="12.3">
      <c r="A111" s="115">
        <v>43221</v>
      </c>
      <c r="B111" s="90" t="s">
        <v>33</v>
      </c>
      <c r="C111" s="91" t="s">
        <v>1172</v>
      </c>
      <c r="D111" s="91">
        <v>3.6</v>
      </c>
      <c r="E111" s="91" t="s">
        <v>362</v>
      </c>
      <c r="F111" s="91" t="s">
        <v>20</v>
      </c>
      <c r="G111" s="91">
        <v>62</v>
      </c>
      <c r="H111" s="91"/>
      <c r="I111" s="12">
        <v>0</v>
      </c>
      <c r="J111" s="13">
        <v>0</v>
      </c>
      <c r="K111" s="13">
        <v>0</v>
      </c>
      <c r="L111" s="14">
        <f>LOG(I111+([3]Values!$D$8*J111)+([3]Values!$D$9*K111)+(M111*[3]Values!D$10)+(N111*[3]Values!$D$11)+1)</f>
        <v>9.1192102996563829E-2</v>
      </c>
      <c r="M111" s="93">
        <v>25</v>
      </c>
      <c r="N111" s="93">
        <v>0</v>
      </c>
      <c r="O111" s="106" t="s">
        <v>23</v>
      </c>
    </row>
    <row r="112" spans="1:15" ht="12.3">
      <c r="A112" s="115">
        <v>43221</v>
      </c>
      <c r="B112" s="90" t="s">
        <v>39</v>
      </c>
      <c r="C112" s="91" t="s">
        <v>1173</v>
      </c>
      <c r="D112" s="91">
        <v>4.2</v>
      </c>
      <c r="E112" s="91" t="s">
        <v>478</v>
      </c>
      <c r="F112" s="91" t="s">
        <v>1174</v>
      </c>
      <c r="G112" s="91"/>
      <c r="H112" s="91"/>
      <c r="I112" s="12">
        <v>0</v>
      </c>
      <c r="J112" s="13">
        <v>0</v>
      </c>
      <c r="K112" s="13">
        <v>0</v>
      </c>
      <c r="L112" s="14">
        <f>LOG(I112+([3]Values!$D$8*J112)+([3]Values!$D$9*K112)+(M112*[3]Values!D$10)+(N112*[3]Values!$D$11)+1)</f>
        <v>1.9834704505085086E-2</v>
      </c>
      <c r="M112" s="93">
        <v>5</v>
      </c>
      <c r="N112" s="93">
        <v>0</v>
      </c>
      <c r="O112" s="106" t="s">
        <v>23</v>
      </c>
    </row>
    <row r="113" spans="1:15" ht="12.3">
      <c r="A113" s="109">
        <v>43222</v>
      </c>
      <c r="B113" s="90" t="s">
        <v>17</v>
      </c>
      <c r="C113" s="90" t="s">
        <v>1153</v>
      </c>
      <c r="D113" s="90">
        <v>5.2</v>
      </c>
      <c r="E113" s="110" t="str">
        <f>HYPERLINK("https://earthquake-report.com/2018/05/02/moderate-earthquake-northern-and-central-iran-may-2-2018/","Earthquake")</f>
        <v>Earthquake</v>
      </c>
      <c r="F113" s="90" t="s">
        <v>20</v>
      </c>
      <c r="G113" s="90">
        <v>8</v>
      </c>
      <c r="H113" s="90"/>
      <c r="I113" s="12">
        <v>0</v>
      </c>
      <c r="J113" s="13">
        <v>139</v>
      </c>
      <c r="K113" s="13">
        <v>5000</v>
      </c>
      <c r="L113" s="14">
        <f>LOG(I113+([3]Values!$D$8*J113)+([3]Values!$D$9*K113)+(M113*[3]Values!D$10)+(N113*[3]Values!$D$11)+1)</f>
        <v>2.3173696197954472</v>
      </c>
      <c r="M113" s="97">
        <v>3762</v>
      </c>
      <c r="N113" s="97">
        <v>1400</v>
      </c>
      <c r="O113" s="114" t="s">
        <v>23</v>
      </c>
    </row>
    <row r="114" spans="1:15" ht="12.3">
      <c r="A114" s="115">
        <v>43224</v>
      </c>
      <c r="B114" s="90" t="s">
        <v>359</v>
      </c>
      <c r="C114" s="91" t="s">
        <v>1175</v>
      </c>
      <c r="D114" s="91">
        <v>4.8</v>
      </c>
      <c r="E114" s="91" t="s">
        <v>362</v>
      </c>
      <c r="F114" s="91" t="s">
        <v>20</v>
      </c>
      <c r="G114" s="91">
        <v>37</v>
      </c>
      <c r="H114" s="91"/>
      <c r="I114" s="12">
        <v>0</v>
      </c>
      <c r="J114" s="13">
        <v>0</v>
      </c>
      <c r="K114" s="13">
        <v>0</v>
      </c>
      <c r="L114" s="14">
        <f>LOG(I114+([3]Values!$D$8*J114)+([3]Values!$D$9*K114)+(M114*[3]Values!D$10)+(N114*[3]Values!$D$11)+1)</f>
        <v>1.2009188198087781E-2</v>
      </c>
      <c r="M114" s="93">
        <v>3</v>
      </c>
      <c r="N114" s="93">
        <v>0</v>
      </c>
      <c r="O114" s="106" t="s">
        <v>23</v>
      </c>
    </row>
    <row r="115" spans="1:15" ht="12.3">
      <c r="A115" s="115">
        <v>43224</v>
      </c>
      <c r="B115" s="90" t="s">
        <v>39</v>
      </c>
      <c r="C115" s="91" t="s">
        <v>1173</v>
      </c>
      <c r="D115" s="90">
        <v>6.9</v>
      </c>
      <c r="E115" s="91" t="s">
        <v>362</v>
      </c>
      <c r="F115" s="91" t="s">
        <v>1174</v>
      </c>
      <c r="G115" s="91">
        <v>3</v>
      </c>
      <c r="H115" s="91" t="s">
        <v>363</v>
      </c>
      <c r="I115" s="12">
        <v>0</v>
      </c>
      <c r="J115" s="13">
        <v>0</v>
      </c>
      <c r="K115" s="13">
        <v>0</v>
      </c>
      <c r="L115" s="14">
        <f>LOG(I115+([3]Values!$D$8*J115)+([3]Values!$D$9*K115)+(M115*[3]Values!D$10)+(N115*[3]Values!$D$11)+1)</f>
        <v>9.1192102996563829E-2</v>
      </c>
      <c r="M115" s="93">
        <v>25</v>
      </c>
      <c r="N115" s="93">
        <v>0</v>
      </c>
      <c r="O115" s="106" t="s">
        <v>1094</v>
      </c>
    </row>
    <row r="116" spans="1:15" ht="12.3">
      <c r="A116" s="19">
        <v>43225</v>
      </c>
      <c r="B116" s="20" t="s">
        <v>67</v>
      </c>
      <c r="C116" s="20" t="s">
        <v>68</v>
      </c>
      <c r="D116" s="105">
        <v>4</v>
      </c>
      <c r="E116" s="118" t="str">
        <f>HYPERLINK("https://earthquake-report.com/2018/05/05/minor-earthquake-poland-may-5-2018/","mine collapse")</f>
        <v>mine collapse</v>
      </c>
      <c r="F116" s="20" t="s">
        <v>69</v>
      </c>
      <c r="G116" s="20">
        <v>1</v>
      </c>
      <c r="H116" s="20"/>
      <c r="I116" s="12">
        <v>5</v>
      </c>
      <c r="J116" s="21">
        <v>2</v>
      </c>
      <c r="K116" s="21">
        <v>0</v>
      </c>
      <c r="L116" s="22">
        <f>LOG(I116+([3]Values!$D$8*J116)+([3]Values!$D$9*K116)+(M116*[3]Values!D$10)+(N116*[3]Values!$D$11)+1)</f>
        <v>0.81358664283410165</v>
      </c>
      <c r="M116" s="102">
        <v>0</v>
      </c>
      <c r="N116" s="102">
        <v>0</v>
      </c>
      <c r="O116" s="103" t="s">
        <v>23</v>
      </c>
    </row>
    <row r="117" spans="1:15" ht="12.3">
      <c r="A117" s="109">
        <v>43225</v>
      </c>
      <c r="B117" s="90" t="s">
        <v>62</v>
      </c>
      <c r="C117" s="90" t="s">
        <v>1176</v>
      </c>
      <c r="D117" s="90">
        <v>6</v>
      </c>
      <c r="E117" s="90" t="s">
        <v>362</v>
      </c>
      <c r="F117" s="90" t="s">
        <v>20</v>
      </c>
      <c r="G117" s="90">
        <v>20</v>
      </c>
      <c r="H117" s="90"/>
      <c r="I117" s="12">
        <v>0</v>
      </c>
      <c r="J117" s="13">
        <v>0</v>
      </c>
      <c r="K117" s="13">
        <v>0</v>
      </c>
      <c r="L117" s="14">
        <f>LOG(I117+([3]Values!$D$8*J117)+([3]Values!$D$9*K117)+(M117*[3]Values!D$10)+(N117*[3]Values!$D$11)+1)</f>
        <v>8.0429091224550799E-3</v>
      </c>
      <c r="M117" s="97">
        <v>2</v>
      </c>
      <c r="N117" s="97">
        <v>0</v>
      </c>
      <c r="O117" s="114" t="s">
        <v>23</v>
      </c>
    </row>
    <row r="118" spans="1:15" ht="12.3">
      <c r="A118" s="109">
        <v>43225</v>
      </c>
      <c r="B118" s="90" t="s">
        <v>83</v>
      </c>
      <c r="C118" s="90" t="s">
        <v>1177</v>
      </c>
      <c r="D118" s="90">
        <v>4.8</v>
      </c>
      <c r="E118" s="90" t="s">
        <v>362</v>
      </c>
      <c r="F118" s="90" t="s">
        <v>20</v>
      </c>
      <c r="G118" s="90"/>
      <c r="H118" s="90"/>
      <c r="I118" s="12"/>
      <c r="J118" s="13"/>
      <c r="K118" s="13"/>
      <c r="L118" s="14">
        <f>LOG(I118+([3]Values!$D$8*J118)+([3]Values!$D$9*K118)+(M118*[3]Values!D$10)+(N118*[3]Values!$D$11)+1)</f>
        <v>0.58021821864030632</v>
      </c>
      <c r="M118" s="97">
        <v>300</v>
      </c>
      <c r="N118" s="97"/>
      <c r="O118" s="114"/>
    </row>
    <row r="119" spans="1:15" ht="12.3">
      <c r="A119" s="109">
        <v>43226</v>
      </c>
      <c r="B119" s="90" t="s">
        <v>83</v>
      </c>
      <c r="C119" s="90" t="s">
        <v>1177</v>
      </c>
      <c r="D119" s="90">
        <v>5.3</v>
      </c>
      <c r="E119" s="90" t="s">
        <v>362</v>
      </c>
      <c r="F119" s="90" t="s">
        <v>20</v>
      </c>
      <c r="G119" s="90"/>
      <c r="H119" s="90"/>
      <c r="I119" s="12"/>
      <c r="J119" s="13"/>
      <c r="K119" s="13"/>
      <c r="L119" s="14">
        <f>LOG(I119+([3]Values!$D$8*J119)+([3]Values!$D$9*K119)+(M119*[3]Values!D$10)+(N119*[3]Values!$D$11)+1)</f>
        <v>0.75381339210133458</v>
      </c>
      <c r="M119" s="97">
        <v>500</v>
      </c>
      <c r="N119" s="97"/>
      <c r="O119" s="114"/>
    </row>
    <row r="120" spans="1:15" ht="12.3">
      <c r="A120" s="109">
        <v>43226</v>
      </c>
      <c r="B120" s="90" t="s">
        <v>404</v>
      </c>
      <c r="C120" s="90" t="s">
        <v>1178</v>
      </c>
      <c r="D120" s="90">
        <v>5.6</v>
      </c>
      <c r="E120" s="90" t="s">
        <v>478</v>
      </c>
      <c r="F120" s="90" t="s">
        <v>20</v>
      </c>
      <c r="G120" s="90">
        <v>4</v>
      </c>
      <c r="H120" s="90" t="s">
        <v>123</v>
      </c>
      <c r="I120" s="12">
        <v>0</v>
      </c>
      <c r="J120" s="13">
        <v>1</v>
      </c>
      <c r="K120" s="13">
        <v>2073</v>
      </c>
      <c r="L120" s="14">
        <f>LOG(I120+([3]Values!$D$8*J120)+([3]Values!$D$9*K120)+(M120*[3]Values!D$10)+(N120*[3]Values!$D$11)+1)</f>
        <v>1.6277510881304706</v>
      </c>
      <c r="M120" s="97">
        <v>298</v>
      </c>
      <c r="N120" s="97">
        <v>11</v>
      </c>
      <c r="O120" s="114" t="s">
        <v>23</v>
      </c>
    </row>
    <row r="121" spans="1:15" ht="12.3">
      <c r="A121" s="115">
        <v>43226</v>
      </c>
      <c r="B121" s="90" t="s">
        <v>105</v>
      </c>
      <c r="C121" s="91" t="s">
        <v>1179</v>
      </c>
      <c r="D121" s="91">
        <v>4.2</v>
      </c>
      <c r="E121" s="91" t="s">
        <v>362</v>
      </c>
      <c r="F121" s="91" t="s">
        <v>20</v>
      </c>
      <c r="G121" s="91">
        <v>17</v>
      </c>
      <c r="H121" s="91"/>
      <c r="I121" s="12">
        <v>0</v>
      </c>
      <c r="J121" s="13">
        <v>0</v>
      </c>
      <c r="K121" s="13">
        <v>0</v>
      </c>
      <c r="L121" s="14">
        <f>LOG(I121+([3]Values!$D$8*J121)+([3]Values!$D$9*K121)+(M121*[3]Values!D$10)+(N121*[3]Values!$D$11)+1)</f>
        <v>4.0400731096553195E-3</v>
      </c>
      <c r="M121" s="93">
        <v>1</v>
      </c>
      <c r="N121" s="93">
        <v>0</v>
      </c>
      <c r="O121" s="106" t="s">
        <v>23</v>
      </c>
    </row>
    <row r="122" spans="1:15" ht="12.3">
      <c r="A122" s="109">
        <v>43226</v>
      </c>
      <c r="B122" s="90" t="s">
        <v>17</v>
      </c>
      <c r="C122" s="90" t="s">
        <v>1153</v>
      </c>
      <c r="D122" s="90">
        <v>4.8</v>
      </c>
      <c r="E122" s="90" t="s">
        <v>362</v>
      </c>
      <c r="F122" s="90" t="s">
        <v>20</v>
      </c>
      <c r="G122" s="90">
        <v>5</v>
      </c>
      <c r="H122" s="90"/>
      <c r="I122" s="12">
        <v>0</v>
      </c>
      <c r="J122" s="13">
        <v>130</v>
      </c>
      <c r="K122" s="13"/>
      <c r="L122" s="14">
        <f>LOG(I122+([3]Values!$D$8*J122)+([3]Values!$D$9*K122)+(M122*[3]Values!D$10)+(N122*[3]Values!$D$11)+1)</f>
        <v>1.5334607643930287</v>
      </c>
      <c r="M122" s="97"/>
      <c r="N122" s="97"/>
      <c r="O122" s="114" t="s">
        <v>23</v>
      </c>
    </row>
    <row r="123" spans="1:15" ht="12.6">
      <c r="A123" s="115">
        <v>43227</v>
      </c>
      <c r="B123" s="90" t="s">
        <v>346</v>
      </c>
      <c r="C123" s="91" t="s">
        <v>1180</v>
      </c>
      <c r="D123" s="91">
        <v>3.4</v>
      </c>
      <c r="E123" s="112" t="s">
        <v>362</v>
      </c>
      <c r="F123" s="91" t="s">
        <v>20</v>
      </c>
      <c r="G123" s="91">
        <v>5</v>
      </c>
      <c r="H123" s="91"/>
      <c r="I123" s="12">
        <v>0</v>
      </c>
      <c r="J123" s="13">
        <v>0</v>
      </c>
      <c r="K123" s="13">
        <v>0</v>
      </c>
      <c r="L123" s="14">
        <f>LOG(I123+([3]Values!$D$8*J123)+([3]Values!$D$9*K123)+(M123*[3]Values!D$10)+(N123*[3]Values!$D$11)+1)</f>
        <v>1.2009188198087781E-2</v>
      </c>
      <c r="M123" s="116">
        <v>3</v>
      </c>
      <c r="N123" s="93">
        <v>0</v>
      </c>
      <c r="O123" s="106" t="s">
        <v>23</v>
      </c>
    </row>
    <row r="124" spans="1:15" ht="12.6">
      <c r="A124" s="115">
        <v>43228</v>
      </c>
      <c r="B124" s="90" t="s">
        <v>17</v>
      </c>
      <c r="C124" s="91" t="s">
        <v>303</v>
      </c>
      <c r="D124" s="91">
        <v>4.5999999999999996</v>
      </c>
      <c r="E124" s="113" t="str">
        <f>HYPERLINK("https://earthquake-report.com/2018/05/08/moderate-earthquake-southern-iran-may-8-2018/","Earthquake")</f>
        <v>Earthquake</v>
      </c>
      <c r="F124" s="91" t="s">
        <v>20</v>
      </c>
      <c r="G124" s="91">
        <v>10</v>
      </c>
      <c r="H124" s="91"/>
      <c r="I124" s="12">
        <v>0</v>
      </c>
      <c r="J124" s="13">
        <v>0</v>
      </c>
      <c r="K124" s="13">
        <v>0</v>
      </c>
      <c r="L124" s="14">
        <f>LOG(I124+([3]Values!$D$8*J124)+([3]Values!$D$9*K124)+(M124*[3]Values!D$10)+(N124*[3]Values!$D$11)+1)</f>
        <v>3.8802963825529238E-2</v>
      </c>
      <c r="M124" s="116">
        <v>10</v>
      </c>
      <c r="N124" s="93">
        <v>0</v>
      </c>
      <c r="O124" s="106" t="s">
        <v>23</v>
      </c>
    </row>
    <row r="125" spans="1:15" ht="12.3">
      <c r="A125" s="115">
        <v>43229</v>
      </c>
      <c r="B125" s="90" t="s">
        <v>216</v>
      </c>
      <c r="C125" s="91" t="s">
        <v>1181</v>
      </c>
      <c r="D125" s="91">
        <v>5.4</v>
      </c>
      <c r="E125" s="113" t="str">
        <f>HYPERLINK("https://earthquake-report.com/2018/05/09/strong-earthquake-pakistan-may-9-2018/","Earthquake")</f>
        <v>Earthquake</v>
      </c>
      <c r="F125" s="91" t="s">
        <v>20</v>
      </c>
      <c r="G125" s="91"/>
      <c r="H125" s="91"/>
      <c r="I125" s="12"/>
      <c r="J125" s="13">
        <v>26</v>
      </c>
      <c r="K125" s="13"/>
      <c r="L125" s="14">
        <f>LOG(I125+([3]Values!$D$8*J125)+([3]Values!$D$9*K125)+(M125*[3]Values!D$10)+(N125*[3]Values!$D$11)+1)</f>
        <v>0.88258724950019141</v>
      </c>
      <c r="M125" s="93"/>
      <c r="N125" s="93"/>
      <c r="O125" s="106" t="s">
        <v>23</v>
      </c>
    </row>
    <row r="126" spans="1:15" ht="12.3">
      <c r="A126" s="19">
        <v>43229</v>
      </c>
      <c r="B126" s="20" t="s">
        <v>608</v>
      </c>
      <c r="C126" s="20" t="s">
        <v>609</v>
      </c>
      <c r="D126" s="20">
        <v>6.3</v>
      </c>
      <c r="E126" s="118" t="str">
        <f>HYPERLINK("https://earthquake-report.com/2018/05/09/very-strong-earthquake-afghanistan-tajikistan-border-region-may-9-2018/","Earthquake")</f>
        <v>Earthquake</v>
      </c>
      <c r="F126" s="20" t="s">
        <v>20</v>
      </c>
      <c r="G126" s="20">
        <v>111</v>
      </c>
      <c r="H126" s="20"/>
      <c r="I126" s="12">
        <v>5</v>
      </c>
      <c r="J126" s="21">
        <v>10</v>
      </c>
      <c r="K126" s="21">
        <v>5537</v>
      </c>
      <c r="L126" s="22">
        <f>LOG(I126+([3]Values!$D$8*J126)+([3]Values!$D$9*K126)+(M126*[3]Values!D$10)+(N126*[3]Values!$D$11)+1)</f>
        <v>2.0927730814943093</v>
      </c>
      <c r="M126" s="102">
        <v>501</v>
      </c>
      <c r="N126" s="102">
        <v>283</v>
      </c>
      <c r="O126" s="103" t="s">
        <v>23</v>
      </c>
    </row>
    <row r="127" spans="1:15" ht="12.3">
      <c r="A127" s="19"/>
      <c r="B127" s="20"/>
      <c r="C127" s="20"/>
      <c r="D127" s="20"/>
      <c r="E127" s="20"/>
      <c r="F127" s="20"/>
      <c r="G127" s="20"/>
      <c r="H127" s="20"/>
      <c r="I127" s="12">
        <v>0</v>
      </c>
      <c r="J127" s="21">
        <v>0</v>
      </c>
      <c r="K127" s="21">
        <v>0</v>
      </c>
      <c r="L127" s="22">
        <f>LOG(I127+([3]Values!$D$8*J127)+([3]Values!$D$9*K127)+(M127*[3]Values!D$10)+(N127*[3]Values!$D$11)+1)</f>
        <v>3.8802963825529238E-2</v>
      </c>
      <c r="M127" s="108">
        <v>10</v>
      </c>
      <c r="N127" s="102">
        <v>0</v>
      </c>
      <c r="O127" s="103" t="s">
        <v>23</v>
      </c>
    </row>
    <row r="128" spans="1:15" ht="12.3">
      <c r="A128" s="115">
        <v>43230</v>
      </c>
      <c r="B128" s="90" t="s">
        <v>17</v>
      </c>
      <c r="C128" s="91" t="s">
        <v>1153</v>
      </c>
      <c r="D128" s="91">
        <v>4.3</v>
      </c>
      <c r="E128" s="113" t="str">
        <f>HYPERLINK("https://earthquake-report.com/2018/05/10/moderate-earthquake-northern-and-central-iran-may-10-2018/","Earthquake")</f>
        <v>Earthquake</v>
      </c>
      <c r="F128" s="91" t="s">
        <v>20</v>
      </c>
      <c r="G128" s="91"/>
      <c r="H128" s="91"/>
      <c r="I128" s="12">
        <v>0</v>
      </c>
      <c r="J128" s="13">
        <v>12</v>
      </c>
      <c r="K128" s="13">
        <v>0</v>
      </c>
      <c r="L128" s="14">
        <f>LOG(I128+([3]Values!$D$8*J128)+([3]Values!$D$9*K128)+(M128*[3]Values!D$10)+(N128*[3]Values!$D$11)+1)</f>
        <v>0.60858042846226457</v>
      </c>
      <c r="M128" s="93">
        <v>0</v>
      </c>
      <c r="N128" s="93">
        <v>0</v>
      </c>
      <c r="O128" s="106" t="s">
        <v>23</v>
      </c>
    </row>
    <row r="129" spans="1:15" ht="12.6">
      <c r="A129" s="115">
        <v>43230</v>
      </c>
      <c r="B129" s="90" t="s">
        <v>17</v>
      </c>
      <c r="C129" s="91" t="s">
        <v>1182</v>
      </c>
      <c r="D129" s="95">
        <v>5</v>
      </c>
      <c r="E129" s="91" t="s">
        <v>362</v>
      </c>
      <c r="F129" s="91" t="s">
        <v>20</v>
      </c>
      <c r="G129" s="91"/>
      <c r="H129" s="91"/>
      <c r="I129" s="12">
        <v>0</v>
      </c>
      <c r="J129" s="13">
        <v>0</v>
      </c>
      <c r="K129" s="13"/>
      <c r="L129" s="14">
        <f>LOG(I129+([3]Values!$D$8*J129)+([3]Values!$D$9*K129)+(M129*[3]Values!D$10)+(N129*[3]Values!$D$11)+1)</f>
        <v>0.10733904346300764</v>
      </c>
      <c r="M129" s="116">
        <v>30</v>
      </c>
      <c r="N129" s="93"/>
      <c r="O129" s="106" t="s">
        <v>23</v>
      </c>
    </row>
    <row r="130" spans="1:15" ht="12.6">
      <c r="A130" s="115">
        <v>43232</v>
      </c>
      <c r="B130" s="90" t="s">
        <v>258</v>
      </c>
      <c r="C130" s="91" t="s">
        <v>1183</v>
      </c>
      <c r="D130" s="91">
        <v>5.2</v>
      </c>
      <c r="E130" s="91" t="s">
        <v>362</v>
      </c>
      <c r="F130" s="91" t="s">
        <v>20</v>
      </c>
      <c r="G130" s="91">
        <v>11</v>
      </c>
      <c r="H130" s="120" t="s">
        <v>590</v>
      </c>
      <c r="I130" s="12">
        <v>0</v>
      </c>
      <c r="J130" s="13">
        <v>0</v>
      </c>
      <c r="K130" s="13"/>
      <c r="L130" s="14">
        <f>LOG(I130+([3]Values!$D$8*J130)+([3]Values!$D$9*K130)+(M130*[3]Values!D$10)+(N130*[3]Values!$D$11)+1)</f>
        <v>4.0400731096553195E-3</v>
      </c>
      <c r="M130" s="93">
        <v>1</v>
      </c>
      <c r="N130" s="93"/>
      <c r="O130" s="106" t="s">
        <v>23</v>
      </c>
    </row>
    <row r="131" spans="1:15" ht="12.3">
      <c r="A131" s="115">
        <v>43232</v>
      </c>
      <c r="B131" s="90" t="s">
        <v>1184</v>
      </c>
      <c r="C131" s="91" t="s">
        <v>1185</v>
      </c>
      <c r="D131" s="91">
        <v>3.5</v>
      </c>
      <c r="E131" s="113" t="str">
        <f>HYPERLINK("https://t.co/LobLIo1mkk","EQ Swarm")</f>
        <v>EQ Swarm</v>
      </c>
      <c r="F131" s="91" t="s">
        <v>20</v>
      </c>
      <c r="G131" s="91">
        <v>8</v>
      </c>
      <c r="H131" s="91" t="s">
        <v>134</v>
      </c>
      <c r="I131" s="12">
        <v>0</v>
      </c>
      <c r="J131" s="13">
        <v>0</v>
      </c>
      <c r="K131" s="13">
        <v>0</v>
      </c>
      <c r="L131" s="14">
        <f>LOG(I131+([3]Values!$D$8*J131)+([3]Values!$D$9*K131)+(M131*[3]Values!D$10)+(N131*[3]Values!$D$11)+1)</f>
        <v>1.9834704505085086E-2</v>
      </c>
      <c r="M131" s="93">
        <v>5</v>
      </c>
      <c r="N131" s="93">
        <v>0</v>
      </c>
      <c r="O131" s="106" t="s">
        <v>23</v>
      </c>
    </row>
    <row r="132" spans="1:15" ht="12.3">
      <c r="A132" s="115">
        <v>43234</v>
      </c>
      <c r="B132" s="90" t="s">
        <v>1184</v>
      </c>
      <c r="C132" s="91" t="s">
        <v>1185</v>
      </c>
      <c r="D132" s="91">
        <v>3.5</v>
      </c>
      <c r="E132" s="113" t="str">
        <f>HYPERLINK("https://t.co/5vwiOOb20r","EQ Swarm")</f>
        <v>EQ Swarm</v>
      </c>
      <c r="F132" s="91" t="s">
        <v>20</v>
      </c>
      <c r="G132" s="91">
        <v>8</v>
      </c>
      <c r="H132" s="91" t="s">
        <v>134</v>
      </c>
      <c r="I132" s="12">
        <v>0</v>
      </c>
      <c r="J132" s="13">
        <v>0</v>
      </c>
      <c r="K132" s="13">
        <v>0</v>
      </c>
      <c r="L132" s="14">
        <f>LOG(I132+([3]Values!$D$8*J132)+([3]Values!$D$9*K132)+(M132*[3]Values!D$10)+(N132*[3]Values!$D$11)+1)</f>
        <v>1.2009188198087781E-2</v>
      </c>
      <c r="M132" s="93">
        <v>3</v>
      </c>
      <c r="N132" s="93">
        <v>0</v>
      </c>
      <c r="O132" s="106" t="s">
        <v>23</v>
      </c>
    </row>
    <row r="133" spans="1:15" ht="12.3">
      <c r="A133" s="115">
        <v>43236</v>
      </c>
      <c r="B133" s="90" t="s">
        <v>83</v>
      </c>
      <c r="C133" s="91" t="s">
        <v>150</v>
      </c>
      <c r="D133" s="91">
        <v>4.3</v>
      </c>
      <c r="E133" s="113" t="str">
        <f>HYPERLINK("https://earthquake-report.com/2018/05/16/moderate-earthquake-western-sichuan-china-may-16-2018/","Earthquake")</f>
        <v>Earthquake</v>
      </c>
      <c r="F133" s="91" t="s">
        <v>20</v>
      </c>
      <c r="G133" s="91">
        <v>11</v>
      </c>
      <c r="H133" s="91"/>
      <c r="I133" s="12">
        <v>0</v>
      </c>
      <c r="J133" s="13">
        <v>0</v>
      </c>
      <c r="K133" s="13"/>
      <c r="L133" s="14">
        <f>LOG(I133+([3]Values!$D$8*J133)+([3]Values!$D$9*K133)+(M133*[3]Values!D$10)+(N133*[3]Values!$D$11)+1)</f>
        <v>1.1388285145974402</v>
      </c>
      <c r="M133" s="93">
        <v>1366</v>
      </c>
      <c r="N133" s="93"/>
      <c r="O133" s="106" t="s">
        <v>23</v>
      </c>
    </row>
    <row r="134" spans="1:15" ht="12.3">
      <c r="A134" s="115">
        <v>43236</v>
      </c>
      <c r="B134" s="90" t="s">
        <v>39</v>
      </c>
      <c r="C134" s="91" t="s">
        <v>1173</v>
      </c>
      <c r="D134" s="91">
        <v>4.4000000000000004</v>
      </c>
      <c r="E134" s="113" t="str">
        <f>HYPERLINK("https://earthquake-report.com/2018/05/17/minor-earthquake-leilani-estates-hawaii-may-17-2018/","Earthquake")</f>
        <v>Earthquake</v>
      </c>
      <c r="F134" s="91" t="s">
        <v>1174</v>
      </c>
      <c r="G134" s="91">
        <v>0</v>
      </c>
      <c r="H134" s="91"/>
      <c r="I134" s="12">
        <v>0</v>
      </c>
      <c r="J134" s="13">
        <v>0</v>
      </c>
      <c r="K134" s="13"/>
      <c r="L134" s="14">
        <f>LOG(I134+([3]Values!$D$8*J134)+([3]Values!$D$9*K134)+(M134*[3]Values!D$10)+(N134*[3]Values!$D$11)+1)</f>
        <v>1.9834704505085086E-2</v>
      </c>
      <c r="M134" s="93">
        <v>5</v>
      </c>
      <c r="N134" s="93">
        <v>0</v>
      </c>
      <c r="O134" s="106" t="s">
        <v>23</v>
      </c>
    </row>
    <row r="135" spans="1:15" ht="12.6">
      <c r="A135" s="115">
        <v>43238</v>
      </c>
      <c r="B135" s="90" t="s">
        <v>39</v>
      </c>
      <c r="C135" s="91" t="s">
        <v>1186</v>
      </c>
      <c r="D135" s="91">
        <v>3.5</v>
      </c>
      <c r="E135" s="112" t="s">
        <v>362</v>
      </c>
      <c r="F135" s="91" t="s">
        <v>617</v>
      </c>
      <c r="G135" s="91">
        <v>5</v>
      </c>
      <c r="H135" s="91"/>
      <c r="I135" s="12">
        <v>0</v>
      </c>
      <c r="J135" s="13">
        <v>0</v>
      </c>
      <c r="K135" s="13">
        <v>0</v>
      </c>
      <c r="L135" s="14">
        <f>LOG(I135+([3]Values!$D$8*J135)+([3]Values!$D$9*K135)+(M135*[3]Values!D$10)+(N135*[3]Values!$D$11)+1)</f>
        <v>1.2009188198087781E-2</v>
      </c>
      <c r="M135" s="116">
        <v>3</v>
      </c>
      <c r="N135" s="93">
        <v>0</v>
      </c>
      <c r="O135" s="106" t="s">
        <v>23</v>
      </c>
    </row>
    <row r="136" spans="1:15" ht="12.3">
      <c r="A136" s="115">
        <v>43239</v>
      </c>
      <c r="B136" s="90" t="s">
        <v>292</v>
      </c>
      <c r="C136" s="91" t="s">
        <v>1187</v>
      </c>
      <c r="D136" s="91">
        <v>4.5</v>
      </c>
      <c r="E136" s="112" t="s">
        <v>478</v>
      </c>
      <c r="F136" s="91" t="s">
        <v>20</v>
      </c>
      <c r="G136" s="91"/>
      <c r="H136" s="91"/>
      <c r="I136" s="12">
        <v>0</v>
      </c>
      <c r="J136" s="13">
        <v>0</v>
      </c>
      <c r="K136" s="13">
        <v>6</v>
      </c>
      <c r="L136" s="14">
        <f>LOG(I136+([3]Values!$D$8*J136)+([3]Values!$D$9*K136)+(M136*[3]Values!D$10)+(N136*[3]Values!$D$11)+1)</f>
        <v>0.10272552677877365</v>
      </c>
      <c r="M136" s="93">
        <v>10</v>
      </c>
      <c r="N136" s="93">
        <v>2</v>
      </c>
      <c r="O136" s="106" t="s">
        <v>23</v>
      </c>
    </row>
    <row r="137" spans="1:15" ht="12.3">
      <c r="A137" s="115">
        <v>43241</v>
      </c>
      <c r="B137" s="90" t="s">
        <v>1184</v>
      </c>
      <c r="C137" s="91" t="s">
        <v>1185</v>
      </c>
      <c r="D137" s="91">
        <v>3.8</v>
      </c>
      <c r="E137" s="113" t="str">
        <f>HYPERLINK("https://earthquake-report.com/2018/05/21/minor-earthquake-germany-may-21-2018-2/","EQ Swarm")</f>
        <v>EQ Swarm</v>
      </c>
      <c r="F137" s="91" t="s">
        <v>20</v>
      </c>
      <c r="G137" s="91">
        <v>8</v>
      </c>
      <c r="H137" s="91" t="s">
        <v>35</v>
      </c>
      <c r="I137" s="12">
        <v>0</v>
      </c>
      <c r="J137" s="13">
        <v>0</v>
      </c>
      <c r="K137" s="13">
        <v>0</v>
      </c>
      <c r="L137" s="14">
        <f>LOG(I137+([3]Values!$D$8*J137)+([3]Values!$D$9*K137)+(M137*[3]Values!D$10)+(N137*[3]Values!$D$11)+1)</f>
        <v>1.5939572029432809E-2</v>
      </c>
      <c r="M137" s="93">
        <v>4</v>
      </c>
      <c r="N137" s="93"/>
      <c r="O137" s="106" t="s">
        <v>23</v>
      </c>
    </row>
    <row r="138" spans="1:15" ht="12.3">
      <c r="A138" s="115"/>
      <c r="B138" s="90"/>
      <c r="C138" s="91"/>
      <c r="D138" s="91">
        <v>3.8</v>
      </c>
      <c r="E138" s="112"/>
      <c r="F138" s="91"/>
      <c r="G138" s="91"/>
      <c r="H138" s="91" t="s">
        <v>134</v>
      </c>
      <c r="I138" s="12">
        <v>0</v>
      </c>
      <c r="J138" s="13">
        <v>0</v>
      </c>
      <c r="K138" s="13">
        <v>0</v>
      </c>
      <c r="L138" s="14">
        <f>LOG(I138+([3]Values!$D$8*J138)+([3]Values!$D$9*K138)+(M138*[3]Values!D$10)+(N138*[3]Values!$D$11)+1)</f>
        <v>1.2009188198087781E-2</v>
      </c>
      <c r="M138" s="93">
        <v>3</v>
      </c>
      <c r="N138" s="93"/>
      <c r="O138" s="106" t="s">
        <v>23</v>
      </c>
    </row>
    <row r="139" spans="1:15" ht="12.3">
      <c r="A139" s="115">
        <v>43242</v>
      </c>
      <c r="B139" s="90" t="s">
        <v>29</v>
      </c>
      <c r="C139" s="91" t="s">
        <v>1188</v>
      </c>
      <c r="D139" s="91">
        <v>5.4</v>
      </c>
      <c r="E139" s="113" t="str">
        <f>HYPERLINK("https://earthquake-report.com/2018/05/22/moderate-earthquake-colombia-ecuador-border-region-may-22-2018/","Earthquake")</f>
        <v>Earthquake</v>
      </c>
      <c r="F139" s="91" t="s">
        <v>20</v>
      </c>
      <c r="G139" s="91">
        <v>3</v>
      </c>
      <c r="H139" s="91" t="s">
        <v>35</v>
      </c>
      <c r="I139" s="12">
        <v>0</v>
      </c>
      <c r="J139" s="13">
        <v>2</v>
      </c>
      <c r="K139" s="13">
        <v>17</v>
      </c>
      <c r="L139" s="14">
        <f>LOG(I139+([3]Values!$D$8*J139)+([3]Values!$D$9*K139)+(M139*[3]Values!D$10)+(N139*[3]Values!$D$11)+1)</f>
        <v>0.27157367514390945</v>
      </c>
      <c r="M139" s="93">
        <v>5</v>
      </c>
      <c r="N139" s="93"/>
      <c r="O139" s="106" t="s">
        <v>23</v>
      </c>
    </row>
    <row r="140" spans="1:15" ht="12.6">
      <c r="A140" s="115">
        <v>43243</v>
      </c>
      <c r="B140" s="90" t="s">
        <v>346</v>
      </c>
      <c r="C140" s="91" t="s">
        <v>1180</v>
      </c>
      <c r="D140" s="91">
        <v>4.2</v>
      </c>
      <c r="E140" s="112" t="s">
        <v>362</v>
      </c>
      <c r="F140" s="91" t="s">
        <v>20</v>
      </c>
      <c r="G140" s="91"/>
      <c r="H140" s="91"/>
      <c r="I140" s="12">
        <v>0</v>
      </c>
      <c r="J140" s="13">
        <v>3</v>
      </c>
      <c r="K140" s="13">
        <v>0</v>
      </c>
      <c r="L140" s="14">
        <f>LOG(I140+([3]Values!$D$8*J140)+([3]Values!$D$9*K140)+(M140*[3]Values!D$10)+(N140*[3]Values!$D$11)+1)</f>
        <v>0.27783177229285128</v>
      </c>
      <c r="M140" s="116">
        <v>14</v>
      </c>
      <c r="N140" s="93">
        <v>0</v>
      </c>
      <c r="O140" s="106" t="s">
        <v>23</v>
      </c>
    </row>
    <row r="141" spans="1:15" ht="12.6">
      <c r="A141" s="115">
        <v>43245</v>
      </c>
      <c r="B141" s="90" t="s">
        <v>671</v>
      </c>
      <c r="C141" s="91" t="s">
        <v>1147</v>
      </c>
      <c r="D141" s="91">
        <v>4.9000000000000004</v>
      </c>
      <c r="E141" s="112" t="s">
        <v>362</v>
      </c>
      <c r="F141" s="91" t="s">
        <v>20</v>
      </c>
      <c r="G141" s="91"/>
      <c r="H141" s="91"/>
      <c r="I141" s="12">
        <v>0</v>
      </c>
      <c r="J141" s="13">
        <v>0</v>
      </c>
      <c r="K141" s="13"/>
      <c r="L141" s="14">
        <f>LOG(I141+([3]Values!$D$8*J141)+([3]Values!$D$9*K141)+(M141*[3]Values!D$10)+(N141*[3]Values!$D$11)+1)</f>
        <v>3.8802963825529238E-2</v>
      </c>
      <c r="M141" s="116">
        <v>10</v>
      </c>
      <c r="N141" s="93">
        <v>0</v>
      </c>
      <c r="O141" s="106" t="s">
        <v>23</v>
      </c>
    </row>
    <row r="142" spans="1:15" ht="12.6">
      <c r="A142" s="115">
        <v>43245</v>
      </c>
      <c r="B142" s="90" t="s">
        <v>258</v>
      </c>
      <c r="C142" s="91" t="s">
        <v>1183</v>
      </c>
      <c r="D142" s="91">
        <v>5.4</v>
      </c>
      <c r="E142" s="113" t="str">
        <f>HYPERLINK("https://earthquake-report.com/2018/05/25/moderate-earthquake-eastern-honshu-japan-may-25-2018/","Earthquake")</f>
        <v>Earthquake</v>
      </c>
      <c r="F142" s="91" t="s">
        <v>20</v>
      </c>
      <c r="G142" s="91">
        <v>10</v>
      </c>
      <c r="H142" s="91" t="s">
        <v>35</v>
      </c>
      <c r="I142" s="12">
        <v>0</v>
      </c>
      <c r="J142" s="13">
        <v>0</v>
      </c>
      <c r="K142" s="13">
        <v>0</v>
      </c>
      <c r="L142" s="14">
        <f>LOG(I142+([3]Values!$D$8*J142)+([3]Values!$D$9*K142)+(M142*[3]Values!D$10)+(N142*[3]Values!$D$11)+1)</f>
        <v>1.9834704505085086E-2</v>
      </c>
      <c r="M142" s="116">
        <v>5</v>
      </c>
      <c r="N142" s="93"/>
      <c r="O142" s="106" t="s">
        <v>23</v>
      </c>
    </row>
    <row r="143" spans="1:15" ht="12.3">
      <c r="A143" s="109">
        <v>43247</v>
      </c>
      <c r="B143" s="90" t="s">
        <v>83</v>
      </c>
      <c r="C143" s="90" t="s">
        <v>605</v>
      </c>
      <c r="D143" s="90">
        <v>5.0999999999999996</v>
      </c>
      <c r="E143" s="90" t="s">
        <v>362</v>
      </c>
      <c r="F143" s="90" t="s">
        <v>20</v>
      </c>
      <c r="G143" s="90"/>
      <c r="H143" s="90"/>
      <c r="I143" s="12">
        <v>0</v>
      </c>
      <c r="J143" s="13">
        <v>0</v>
      </c>
      <c r="K143" s="13">
        <v>200</v>
      </c>
      <c r="L143" s="14">
        <f>LOG(I143+([3]Values!$D$8*J143)+([3]Values!$D$9*K143)+(M143*[3]Values!D$10)+(N143*[3]Values!$D$11)+1)</f>
        <v>2.0134557492322589</v>
      </c>
      <c r="M143" s="97">
        <v>4333</v>
      </c>
      <c r="N143" s="97">
        <v>1833</v>
      </c>
      <c r="O143" s="114" t="s">
        <v>23</v>
      </c>
    </row>
    <row r="144" spans="1:15" ht="12.6">
      <c r="A144" s="115">
        <v>43250</v>
      </c>
      <c r="B144" s="90" t="s">
        <v>17</v>
      </c>
      <c r="C144" s="91" t="s">
        <v>248</v>
      </c>
      <c r="D144" s="91">
        <v>4.3</v>
      </c>
      <c r="E144" s="91" t="s">
        <v>362</v>
      </c>
      <c r="F144" s="91" t="s">
        <v>20</v>
      </c>
      <c r="G144" s="91">
        <v>9</v>
      </c>
      <c r="H144" s="91"/>
      <c r="I144" s="12">
        <v>0</v>
      </c>
      <c r="J144" s="13">
        <v>0</v>
      </c>
      <c r="K144" s="13">
        <v>0</v>
      </c>
      <c r="L144" s="14">
        <f>LOG(I144+([3]Values!$D$8*J144)+([3]Values!$D$9*K144)+(M144*[3]Values!D$10)+(N144*[3]Values!$D$11)+1)</f>
        <v>6.3229024513538595E-2</v>
      </c>
      <c r="M144" s="116">
        <v>10</v>
      </c>
      <c r="N144" s="93">
        <v>2</v>
      </c>
      <c r="O144" s="106" t="s">
        <v>23</v>
      </c>
    </row>
    <row r="145" spans="1:15" ht="12.3">
      <c r="A145" s="90" t="s">
        <v>1189</v>
      </c>
      <c r="B145" s="90" t="s">
        <v>512</v>
      </c>
      <c r="C145" s="90" t="s">
        <v>1190</v>
      </c>
      <c r="D145" s="90">
        <v>5.9</v>
      </c>
      <c r="E145" s="110" t="str">
        <f>HYPERLINK("https://earthquake-report.com/2018/05/15/strong-earthquake-northwest-of-madagascar-may-15-2018/","EQ Swarm")</f>
        <v>EQ Swarm</v>
      </c>
      <c r="F145" s="90" t="s">
        <v>20</v>
      </c>
      <c r="G145" s="90"/>
      <c r="H145" s="90"/>
      <c r="I145" s="12">
        <v>0</v>
      </c>
      <c r="J145" s="13">
        <v>20</v>
      </c>
      <c r="K145" s="13">
        <v>45</v>
      </c>
      <c r="L145" s="14">
        <f>LOG(I145+([3]Values!$D$8*J145)+([3]Values!$D$9*K145)+(M145*[3]Values!D$10)+(N145*[3]Values!$D$11)+1)</f>
        <v>0.90925981090451158</v>
      </c>
      <c r="M145" s="117">
        <v>100</v>
      </c>
      <c r="N145" s="97">
        <v>8</v>
      </c>
      <c r="O145" s="114" t="s">
        <v>23</v>
      </c>
    </row>
    <row r="146" spans="1:15" ht="12.6">
      <c r="A146" s="115">
        <v>43254</v>
      </c>
      <c r="B146" s="90" t="s">
        <v>1191</v>
      </c>
      <c r="C146" s="91" t="s">
        <v>1192</v>
      </c>
      <c r="D146" s="90"/>
      <c r="E146" s="91" t="s">
        <v>362</v>
      </c>
      <c r="F146" s="91" t="s">
        <v>20</v>
      </c>
      <c r="G146" s="90"/>
      <c r="H146" s="90"/>
      <c r="I146" s="12">
        <v>0</v>
      </c>
      <c r="J146" s="13">
        <v>0</v>
      </c>
      <c r="K146" s="13">
        <v>0</v>
      </c>
      <c r="L146" s="14">
        <f>LOG(I146+([3]Values!$D$8*J146)+([3]Values!$D$9*K146)+(M146*[3]Values!D$10)+(N146*[3]Values!$D$11)+1)</f>
        <v>3.8802963825529238E-2</v>
      </c>
      <c r="M146" s="116">
        <v>10</v>
      </c>
      <c r="N146" s="97">
        <v>0</v>
      </c>
      <c r="O146" s="114" t="s">
        <v>23</v>
      </c>
    </row>
    <row r="147" spans="1:15" ht="12.3">
      <c r="A147" s="19">
        <v>43256</v>
      </c>
      <c r="B147" s="20" t="s">
        <v>419</v>
      </c>
      <c r="C147" s="20" t="s">
        <v>757</v>
      </c>
      <c r="D147" s="20">
        <v>5.2</v>
      </c>
      <c r="E147" s="20" t="s">
        <v>362</v>
      </c>
      <c r="F147" s="20" t="s">
        <v>20</v>
      </c>
      <c r="G147" s="20"/>
      <c r="H147" s="20"/>
      <c r="I147" s="12">
        <v>1</v>
      </c>
      <c r="J147" s="21">
        <v>31</v>
      </c>
      <c r="K147" s="21"/>
      <c r="L147" s="22">
        <f>LOG(I147+([3]Values!$D$8*J147)+([3]Values!$D$9*K147)+(M147*[3]Values!D$10)+(N147*[3]Values!$D$11)+1)</f>
        <v>1.0159301060933905</v>
      </c>
      <c r="M147" s="108">
        <v>50</v>
      </c>
      <c r="N147" s="102"/>
      <c r="O147" s="103" t="s">
        <v>23</v>
      </c>
    </row>
    <row r="148" spans="1:15" ht="12.3">
      <c r="A148" s="109">
        <v>43257</v>
      </c>
      <c r="B148" s="90" t="s">
        <v>806</v>
      </c>
      <c r="C148" s="90" t="s">
        <v>807</v>
      </c>
      <c r="D148" s="90">
        <v>4.3</v>
      </c>
      <c r="E148" s="90" t="s">
        <v>362</v>
      </c>
      <c r="F148" s="90" t="s">
        <v>20</v>
      </c>
      <c r="G148" s="90"/>
      <c r="H148" s="90" t="s">
        <v>35</v>
      </c>
      <c r="I148" s="12">
        <v>0</v>
      </c>
      <c r="J148" s="13">
        <v>84</v>
      </c>
      <c r="K148" s="13"/>
      <c r="L148" s="14">
        <f>LOG(I148+([3]Values!$D$8*J148)+([3]Values!$D$9*K148)+(M148*[3]Values!D$10)+(N148*[3]Values!$D$11)+1)</f>
        <v>1.3508855328796519</v>
      </c>
      <c r="M148" s="97">
        <v>1</v>
      </c>
      <c r="N148" s="97"/>
      <c r="O148" s="114" t="s">
        <v>23</v>
      </c>
    </row>
    <row r="149" spans="1:15" ht="12.3">
      <c r="A149" s="115">
        <v>43262</v>
      </c>
      <c r="B149" s="90" t="s">
        <v>24</v>
      </c>
      <c r="C149" s="91" t="s">
        <v>1193</v>
      </c>
      <c r="D149" s="91">
        <v>4.9000000000000004</v>
      </c>
      <c r="E149" s="91" t="s">
        <v>362</v>
      </c>
      <c r="F149" s="91" t="s">
        <v>20</v>
      </c>
      <c r="G149" s="91"/>
      <c r="H149" s="91"/>
      <c r="I149" s="12">
        <v>0</v>
      </c>
      <c r="J149" s="13">
        <v>2</v>
      </c>
      <c r="K149" s="13"/>
      <c r="L149" s="14">
        <f>LOG(I149+([3]Values!$D$8*J149)+([3]Values!$D$9*K149)+(M149*[3]Values!D$10)+(N149*[3]Values!$D$11)+1)</f>
        <v>0.18168091789411395</v>
      </c>
      <c r="M149" s="93">
        <v>1</v>
      </c>
      <c r="N149" s="93"/>
      <c r="O149" s="106" t="s">
        <v>23</v>
      </c>
    </row>
    <row r="150" spans="1:15" ht="12.3">
      <c r="A150" s="115">
        <v>43263</v>
      </c>
      <c r="B150" s="90" t="s">
        <v>33</v>
      </c>
      <c r="C150" s="91" t="s">
        <v>1194</v>
      </c>
      <c r="D150" s="91">
        <v>3.4</v>
      </c>
      <c r="E150" s="91" t="s">
        <v>362</v>
      </c>
      <c r="F150" s="91" t="s">
        <v>1174</v>
      </c>
      <c r="G150" s="91">
        <v>2</v>
      </c>
      <c r="H150" s="91"/>
      <c r="I150" s="12">
        <v>0</v>
      </c>
      <c r="J150" s="13">
        <v>0</v>
      </c>
      <c r="K150" s="13">
        <v>0</v>
      </c>
      <c r="L150" s="14">
        <f>LOG(I150+([3]Values!$D$8*J150)+([3]Values!$D$9*K150)+(M150*[3]Values!D$10)+(N150*[3]Values!$D$11)+1)</f>
        <v>8.0429091224550799E-3</v>
      </c>
      <c r="M150" s="93">
        <v>2</v>
      </c>
      <c r="N150" s="93">
        <v>0</v>
      </c>
      <c r="O150" s="106" t="s">
        <v>23</v>
      </c>
    </row>
    <row r="151" spans="1:15" ht="12.3">
      <c r="A151" s="19">
        <v>43263</v>
      </c>
      <c r="B151" s="20" t="s">
        <v>378</v>
      </c>
      <c r="C151" s="20" t="s">
        <v>1195</v>
      </c>
      <c r="D151" s="20">
        <v>4.5</v>
      </c>
      <c r="E151" s="20" t="s">
        <v>362</v>
      </c>
      <c r="F151" s="20" t="s">
        <v>1174</v>
      </c>
      <c r="G151" s="20"/>
      <c r="H151" s="20"/>
      <c r="I151" s="12">
        <v>2</v>
      </c>
      <c r="J151" s="21">
        <v>7</v>
      </c>
      <c r="K151" s="21">
        <v>3000</v>
      </c>
      <c r="L151" s="22">
        <f>LOG(I151+([3]Values!$D$8*J151)+([3]Values!$D$9*K151)+(M151*[3]Values!D$10)+(N151*[3]Values!$D$11)+1)</f>
        <v>1.8064574172707704</v>
      </c>
      <c r="M151" s="102">
        <v>110</v>
      </c>
      <c r="N151" s="102">
        <v>100</v>
      </c>
      <c r="O151" s="103" t="s">
        <v>23</v>
      </c>
    </row>
    <row r="152" spans="1:15" ht="12.3">
      <c r="A152" s="115">
        <v>43264</v>
      </c>
      <c r="B152" s="90" t="s">
        <v>591</v>
      </c>
      <c r="C152" s="91" t="s">
        <v>907</v>
      </c>
      <c r="D152" s="91">
        <v>5.3</v>
      </c>
      <c r="E152" s="91" t="s">
        <v>362</v>
      </c>
      <c r="F152" s="91" t="s">
        <v>20</v>
      </c>
      <c r="G152" s="91"/>
      <c r="H152" s="91"/>
      <c r="I152" s="12">
        <v>0</v>
      </c>
      <c r="J152" s="13">
        <v>0</v>
      </c>
      <c r="K152" s="13">
        <v>0</v>
      </c>
      <c r="L152" s="14">
        <f>LOG(I152+([3]Values!$D$8*J152)+([3]Values!$D$9*K152)+(M152*[3]Values!D$10)+(N152*[3]Values!$D$11)+1)</f>
        <v>4.0400731096553195E-3</v>
      </c>
      <c r="M152" s="93">
        <v>1</v>
      </c>
      <c r="N152" s="93">
        <v>0</v>
      </c>
      <c r="O152" s="106" t="s">
        <v>23</v>
      </c>
    </row>
    <row r="153" spans="1:15" ht="12.3">
      <c r="A153" s="115">
        <v>43264</v>
      </c>
      <c r="B153" s="90" t="s">
        <v>44</v>
      </c>
      <c r="C153" s="91" t="s">
        <v>706</v>
      </c>
      <c r="D153" s="91">
        <v>4.8</v>
      </c>
      <c r="E153" s="91" t="s">
        <v>362</v>
      </c>
      <c r="F153" s="91" t="s">
        <v>20</v>
      </c>
      <c r="G153" s="91">
        <v>12</v>
      </c>
      <c r="H153" s="91"/>
      <c r="I153" s="12">
        <v>0</v>
      </c>
      <c r="J153" s="13">
        <v>6</v>
      </c>
      <c r="K153" s="13"/>
      <c r="L153" s="14">
        <f>LOG(I153+([3]Values!$D$8*J153)+([3]Values!$D$9*K153)+(M153*[3]Values!D$10)+(N153*[3]Values!$D$11)+1)</f>
        <v>0.59335319812928755</v>
      </c>
      <c r="M153" s="93">
        <v>54</v>
      </c>
      <c r="N153" s="93">
        <v>28</v>
      </c>
      <c r="O153" s="106" t="s">
        <v>23</v>
      </c>
    </row>
    <row r="154" spans="1:15" ht="12.3">
      <c r="A154" s="121" t="s">
        <v>1196</v>
      </c>
      <c r="B154" s="122" t="s">
        <v>1197</v>
      </c>
      <c r="C154" s="121" t="s">
        <v>1198</v>
      </c>
      <c r="D154" s="121" t="s">
        <v>1199</v>
      </c>
      <c r="E154" s="121" t="s">
        <v>362</v>
      </c>
      <c r="F154" s="121" t="s">
        <v>20</v>
      </c>
      <c r="G154" s="121" t="s">
        <v>1200</v>
      </c>
      <c r="H154" s="121"/>
      <c r="I154" s="123" t="s">
        <v>1201</v>
      </c>
      <c r="J154" s="124" t="s">
        <v>1202</v>
      </c>
      <c r="K154" s="124" t="s">
        <v>1203</v>
      </c>
      <c r="L154" s="125" t="e">
        <f>LOG(I154+([3]Values!$D$8*J154)+([3]Values!$D$9*K154)+(M154*[3]Values!D$10)+(N154*[3]Values!$D$11)+1)</f>
        <v>#VALUE!</v>
      </c>
      <c r="M154" s="126" t="s">
        <v>1204</v>
      </c>
      <c r="N154" s="126" t="s">
        <v>1205</v>
      </c>
      <c r="O154" s="127" t="s">
        <v>23</v>
      </c>
    </row>
    <row r="155" spans="1:15" ht="12.3">
      <c r="A155" s="115">
        <v>43268</v>
      </c>
      <c r="B155" s="90" t="s">
        <v>216</v>
      </c>
      <c r="C155" s="91" t="s">
        <v>1206</v>
      </c>
      <c r="D155" s="91">
        <v>5.2</v>
      </c>
      <c r="E155" s="91" t="s">
        <v>362</v>
      </c>
      <c r="F155" s="91" t="s">
        <v>20</v>
      </c>
      <c r="G155" s="91"/>
      <c r="H155" s="91"/>
      <c r="I155" s="12">
        <v>0</v>
      </c>
      <c r="J155" s="13"/>
      <c r="K155" s="13"/>
      <c r="L155" s="14">
        <f>LOG(I155+([3]Values!$D$8*J155)+([3]Values!$D$9*K155)+(M155*[3]Values!D$10)+(N155*[3]Values!$D$11)+1)</f>
        <v>0.1686342867703596</v>
      </c>
      <c r="M155" s="93"/>
      <c r="N155" s="93">
        <v>15</v>
      </c>
      <c r="O155" s="106" t="s">
        <v>23</v>
      </c>
    </row>
    <row r="156" spans="1:15" ht="12.6">
      <c r="A156" s="115">
        <v>43268</v>
      </c>
      <c r="B156" s="90" t="s">
        <v>258</v>
      </c>
      <c r="C156" s="91" t="s">
        <v>1207</v>
      </c>
      <c r="D156" s="91">
        <v>4.7</v>
      </c>
      <c r="E156" s="91" t="s">
        <v>362</v>
      </c>
      <c r="F156" s="91" t="s">
        <v>20</v>
      </c>
      <c r="G156" s="91">
        <v>15</v>
      </c>
      <c r="H156" s="120" t="s">
        <v>590</v>
      </c>
      <c r="I156" s="12">
        <v>0</v>
      </c>
      <c r="J156" s="13">
        <v>0</v>
      </c>
      <c r="K156" s="13">
        <v>0</v>
      </c>
      <c r="L156" s="14">
        <f>LOG(I156+([3]Values!$D$8*J156)+([3]Values!$D$9*K156)+(M156*[3]Values!D$10)+(N156*[3]Values!$D$11)+1)</f>
        <v>1.5939572029432809E-2</v>
      </c>
      <c r="M156" s="93">
        <v>4</v>
      </c>
      <c r="N156" s="93">
        <v>0</v>
      </c>
      <c r="O156" s="106" t="s">
        <v>23</v>
      </c>
    </row>
    <row r="157" spans="1:15" ht="12.3">
      <c r="A157" s="19">
        <v>43268</v>
      </c>
      <c r="B157" s="20" t="s">
        <v>258</v>
      </c>
      <c r="C157" s="20" t="s">
        <v>1208</v>
      </c>
      <c r="D157" s="20">
        <v>5.5</v>
      </c>
      <c r="E157" s="20" t="s">
        <v>362</v>
      </c>
      <c r="F157" s="20" t="s">
        <v>20</v>
      </c>
      <c r="G157" s="20">
        <v>12</v>
      </c>
      <c r="H157" s="35" t="s">
        <v>289</v>
      </c>
      <c r="I157" s="12">
        <v>5</v>
      </c>
      <c r="J157" s="21">
        <v>462</v>
      </c>
      <c r="K157" s="21">
        <v>182</v>
      </c>
      <c r="L157" s="22">
        <f>LOG(I157+([3]Values!$D$8*J157)+([3]Values!$D$9*K157)+(M157*[3]Values!D$10)+(N157*[3]Values!$D$11)+1)</f>
        <v>2.8330172575023518</v>
      </c>
      <c r="M157" s="93">
        <v>57629</v>
      </c>
      <c r="N157" s="102">
        <v>475</v>
      </c>
      <c r="O157" s="103" t="s">
        <v>23</v>
      </c>
    </row>
    <row r="158" spans="1:15" ht="12.6">
      <c r="A158" s="115">
        <v>43277</v>
      </c>
      <c r="B158" s="90" t="s">
        <v>17</v>
      </c>
      <c r="C158" s="91" t="s">
        <v>1090</v>
      </c>
      <c r="D158" s="91">
        <v>4.8</v>
      </c>
      <c r="E158" s="91" t="s">
        <v>362</v>
      </c>
      <c r="F158" s="91" t="s">
        <v>20</v>
      </c>
      <c r="G158" s="91"/>
      <c r="H158" s="91"/>
      <c r="I158" s="12">
        <v>0</v>
      </c>
      <c r="J158" s="13">
        <v>19</v>
      </c>
      <c r="K158" s="13"/>
      <c r="L158" s="14">
        <f>LOG(I158+([3]Values!$D$8*J158)+([3]Values!$D$9*K158)+(M158*[3]Values!D$10)+(N158*[3]Values!$D$11)+1)</f>
        <v>0.81026342945499352</v>
      </c>
      <c r="M158" s="116">
        <v>15</v>
      </c>
      <c r="N158" s="93">
        <v>15</v>
      </c>
      <c r="O158" s="106" t="s">
        <v>23</v>
      </c>
    </row>
    <row r="159" spans="1:15" ht="12.3">
      <c r="A159" s="115">
        <v>43277</v>
      </c>
      <c r="B159" s="90" t="s">
        <v>317</v>
      </c>
      <c r="C159" s="91" t="s">
        <v>1116</v>
      </c>
      <c r="D159" s="91">
        <v>3.1</v>
      </c>
      <c r="E159" s="91" t="s">
        <v>362</v>
      </c>
      <c r="F159" s="91" t="s">
        <v>20</v>
      </c>
      <c r="G159" s="91"/>
      <c r="H159" s="91"/>
      <c r="I159" s="12">
        <v>0</v>
      </c>
      <c r="J159" s="13">
        <v>0</v>
      </c>
      <c r="K159" s="13">
        <v>0</v>
      </c>
      <c r="L159" s="14">
        <f>LOG(I159+([3]Values!$D$8*J159)+([3]Values!$D$9*K159)+(M159*[3]Values!D$10)+(N159*[3]Values!$D$11)+1)</f>
        <v>1.5939572029432809E-2</v>
      </c>
      <c r="M159" s="93">
        <v>4</v>
      </c>
      <c r="N159" s="93">
        <v>0</v>
      </c>
      <c r="O159" s="106" t="s">
        <v>23</v>
      </c>
    </row>
    <row r="160" spans="1:15" ht="12.3">
      <c r="A160" s="115">
        <v>43283</v>
      </c>
      <c r="B160" s="90" t="s">
        <v>83</v>
      </c>
      <c r="C160" s="91" t="s">
        <v>1209</v>
      </c>
      <c r="D160" s="91">
        <v>3.6</v>
      </c>
      <c r="E160" s="91" t="s">
        <v>362</v>
      </c>
      <c r="F160" s="91" t="s">
        <v>20</v>
      </c>
      <c r="G160" s="91">
        <v>5</v>
      </c>
      <c r="H160" s="91"/>
      <c r="I160" s="12">
        <v>0</v>
      </c>
      <c r="J160" s="13">
        <v>0</v>
      </c>
      <c r="K160" s="13">
        <v>0</v>
      </c>
      <c r="L160" s="14">
        <f>LOG(I160+([3]Values!$D$8*J160)+([3]Values!$D$9*K160)+(M160*[3]Values!D$10)+(N160*[3]Values!$D$11)+1)</f>
        <v>2.3695212342431438E-2</v>
      </c>
      <c r="M160" s="93">
        <v>6</v>
      </c>
      <c r="N160" s="93">
        <v>0</v>
      </c>
      <c r="O160" s="114" t="s">
        <v>23</v>
      </c>
    </row>
    <row r="161" spans="1:15" ht="12.3">
      <c r="A161" s="115">
        <v>43283</v>
      </c>
      <c r="B161" s="90" t="s">
        <v>570</v>
      </c>
      <c r="C161" s="91" t="s">
        <v>1210</v>
      </c>
      <c r="D161" s="91">
        <v>4.5999999999999996</v>
      </c>
      <c r="E161" s="91" t="s">
        <v>362</v>
      </c>
      <c r="F161" s="91" t="s">
        <v>20</v>
      </c>
      <c r="G161" s="91">
        <v>20</v>
      </c>
      <c r="H161" s="91"/>
      <c r="I161" s="12">
        <v>0</v>
      </c>
      <c r="J161" s="13">
        <v>0</v>
      </c>
      <c r="K161" s="13">
        <v>0</v>
      </c>
      <c r="L161" s="14">
        <f>LOG(I161+([3]Values!$D$8*J161)+([3]Values!$D$9*K161)+(M161*[3]Values!D$10)+(N161*[3]Values!$D$11)+1)</f>
        <v>1.3524366729655577E-2</v>
      </c>
      <c r="M161" s="93">
        <v>0</v>
      </c>
      <c r="N161" s="93">
        <v>1</v>
      </c>
      <c r="O161" s="114" t="s">
        <v>23</v>
      </c>
    </row>
    <row r="162" spans="1:15" ht="12.3">
      <c r="A162" s="115">
        <v>43284</v>
      </c>
      <c r="B162" s="90" t="s">
        <v>67</v>
      </c>
      <c r="C162" s="91" t="s">
        <v>329</v>
      </c>
      <c r="D162" s="91">
        <v>4.0999999999999996</v>
      </c>
      <c r="E162" s="91" t="s">
        <v>1211</v>
      </c>
      <c r="F162" s="91" t="s">
        <v>69</v>
      </c>
      <c r="G162" s="91">
        <v>1</v>
      </c>
      <c r="H162" s="91"/>
      <c r="I162" s="12">
        <v>0</v>
      </c>
      <c r="J162" s="13">
        <v>12</v>
      </c>
      <c r="K162" s="13">
        <v>0</v>
      </c>
      <c r="L162" s="14">
        <f>LOG(I162+([3]Values!$D$8*J162)+([3]Values!$D$9*K162)+(M162*[3]Values!D$10)+(N162*[3]Values!$D$11)+1)</f>
        <v>0.60858042846226457</v>
      </c>
      <c r="M162" s="93">
        <v>0</v>
      </c>
      <c r="N162" s="93">
        <v>0</v>
      </c>
      <c r="O162" s="106" t="s">
        <v>23</v>
      </c>
    </row>
    <row r="163" spans="1:15" ht="12.6">
      <c r="A163" s="115">
        <v>43285</v>
      </c>
      <c r="B163" s="90" t="s">
        <v>599</v>
      </c>
      <c r="C163" s="91" t="s">
        <v>1212</v>
      </c>
      <c r="D163" s="91">
        <v>4.4000000000000004</v>
      </c>
      <c r="E163" s="91" t="s">
        <v>478</v>
      </c>
      <c r="F163" s="91" t="s">
        <v>20</v>
      </c>
      <c r="G163" s="91"/>
      <c r="H163" s="91"/>
      <c r="I163" s="12">
        <v>0</v>
      </c>
      <c r="J163" s="13">
        <v>0</v>
      </c>
      <c r="K163" s="13">
        <v>15</v>
      </c>
      <c r="L163" s="14">
        <f>LOG(I163+([3]Values!$D$8*J163)+([3]Values!$D$9*K163)+(M163*[3]Values!D$10)+(N163*[3]Values!$D$11)+1)</f>
        <v>0.17431382290736072</v>
      </c>
      <c r="M163" s="116">
        <v>20</v>
      </c>
      <c r="N163" s="93">
        <v>1</v>
      </c>
      <c r="O163" s="106" t="s">
        <v>23</v>
      </c>
    </row>
    <row r="164" spans="1:15" ht="12.6">
      <c r="A164" s="115">
        <v>43285</v>
      </c>
      <c r="B164" s="90" t="s">
        <v>292</v>
      </c>
      <c r="C164" s="91" t="s">
        <v>832</v>
      </c>
      <c r="D164" s="91">
        <v>5.0999999999999996</v>
      </c>
      <c r="E164" s="91" t="s">
        <v>362</v>
      </c>
      <c r="F164" s="91" t="s">
        <v>20</v>
      </c>
      <c r="G164" s="91">
        <v>18</v>
      </c>
      <c r="H164" s="91" t="s">
        <v>35</v>
      </c>
      <c r="I164" s="12">
        <v>0</v>
      </c>
      <c r="J164" s="13">
        <v>0</v>
      </c>
      <c r="K164" s="13">
        <v>0</v>
      </c>
      <c r="L164" s="14">
        <f>LOG(I164+([3]Values!$D$8*J164)+([3]Values!$D$9*K164)+(M164*[3]Values!D$10)+(N164*[3]Values!$D$11)+1)</f>
        <v>5.6977318551954377E-2</v>
      </c>
      <c r="M164" s="116">
        <v>15</v>
      </c>
      <c r="N164" s="93">
        <v>0</v>
      </c>
      <c r="O164" s="106" t="s">
        <v>23</v>
      </c>
    </row>
    <row r="165" spans="1:15" ht="12.3">
      <c r="A165" s="115">
        <v>43287</v>
      </c>
      <c r="B165" s="90" t="s">
        <v>172</v>
      </c>
      <c r="C165" s="91" t="s">
        <v>1213</v>
      </c>
      <c r="D165" s="91">
        <v>5.4</v>
      </c>
      <c r="E165" s="91" t="s">
        <v>362</v>
      </c>
      <c r="F165" s="91" t="s">
        <v>20</v>
      </c>
      <c r="G165" s="91">
        <v>36</v>
      </c>
      <c r="H165" s="91"/>
      <c r="I165" s="12">
        <v>0</v>
      </c>
      <c r="J165" s="13">
        <v>0</v>
      </c>
      <c r="K165" s="13">
        <v>0</v>
      </c>
      <c r="L165" s="14">
        <f>LOG(I165+([3]Values!$D$8*J165)+([3]Values!$D$9*K165)+(M165*[3]Values!D$10)+(N165*[3]Values!$D$11)+1)</f>
        <v>8.0429091224550799E-3</v>
      </c>
      <c r="M165" s="93">
        <v>2</v>
      </c>
      <c r="N165" s="93">
        <v>0</v>
      </c>
      <c r="O165" s="106" t="s">
        <v>23</v>
      </c>
    </row>
    <row r="166" spans="1:15" ht="12.3">
      <c r="A166" s="115">
        <v>43288</v>
      </c>
      <c r="B166" s="90" t="s">
        <v>44</v>
      </c>
      <c r="C166" s="91" t="s">
        <v>725</v>
      </c>
      <c r="D166" s="91">
        <v>4.5999999999999996</v>
      </c>
      <c r="E166" s="91" t="s">
        <v>478</v>
      </c>
      <c r="F166" s="91" t="s">
        <v>20</v>
      </c>
      <c r="G166" s="91">
        <v>5</v>
      </c>
      <c r="H166" s="91"/>
      <c r="I166" s="12">
        <v>0</v>
      </c>
      <c r="J166" s="13">
        <v>0</v>
      </c>
      <c r="K166" s="13">
        <v>220</v>
      </c>
      <c r="L166" s="14">
        <f>LOG(I166+([3]Values!$D$8*J166)+([3]Values!$D$9*K166)+(M166*[3]Values!D$10)+(N166*[3]Values!$D$11)+1)</f>
        <v>0.81298142823957409</v>
      </c>
      <c r="M166" s="93">
        <v>55</v>
      </c>
      <c r="N166" s="93">
        <v>30</v>
      </c>
      <c r="O166" s="106" t="s">
        <v>23</v>
      </c>
    </row>
    <row r="167" spans="1:15" ht="12.6">
      <c r="A167" s="115">
        <v>43289</v>
      </c>
      <c r="B167" s="90" t="s">
        <v>24</v>
      </c>
      <c r="C167" s="91" t="s">
        <v>1214</v>
      </c>
      <c r="D167" s="91">
        <v>4.3</v>
      </c>
      <c r="E167" s="91" t="s">
        <v>362</v>
      </c>
      <c r="F167" s="91" t="s">
        <v>20</v>
      </c>
      <c r="G167" s="91"/>
      <c r="H167" s="91"/>
      <c r="I167" s="12">
        <v>0</v>
      </c>
      <c r="J167" s="13">
        <v>0</v>
      </c>
      <c r="K167" s="13">
        <v>0</v>
      </c>
      <c r="L167" s="14">
        <f>LOG(I167+([3]Values!$D$8*J167)+([3]Values!$D$9*K167)+(M167*[3]Values!D$10)+(N167*[3]Values!$D$11)+1)</f>
        <v>3.8802963825529238E-2</v>
      </c>
      <c r="M167" s="116">
        <v>10</v>
      </c>
      <c r="N167" s="93">
        <v>0</v>
      </c>
      <c r="O167" s="106" t="s">
        <v>23</v>
      </c>
    </row>
    <row r="168" spans="1:15" ht="12.6">
      <c r="A168" s="115">
        <v>43291</v>
      </c>
      <c r="B168" s="90" t="s">
        <v>33</v>
      </c>
      <c r="C168" s="91" t="s">
        <v>1215</v>
      </c>
      <c r="D168" s="91">
        <v>4</v>
      </c>
      <c r="E168" s="91" t="s">
        <v>362</v>
      </c>
      <c r="F168" s="91" t="s">
        <v>20</v>
      </c>
      <c r="G168" s="91"/>
      <c r="H168" s="91"/>
      <c r="I168" s="12">
        <v>0</v>
      </c>
      <c r="J168" s="13">
        <v>0</v>
      </c>
      <c r="K168" s="13">
        <v>0</v>
      </c>
      <c r="L168" s="14">
        <f>LOG(I168+([3]Values!$D$8*J168)+([3]Values!$D$9*K168)+(M168*[3]Values!D$10)+(N168*[3]Values!$D$11)+1)</f>
        <v>1.9834704505085086E-2</v>
      </c>
      <c r="M168" s="116">
        <v>5</v>
      </c>
      <c r="N168" s="93">
        <v>0</v>
      </c>
      <c r="O168" s="106" t="s">
        <v>23</v>
      </c>
    </row>
    <row r="169" spans="1:15" ht="12.6">
      <c r="A169" s="115">
        <v>43291</v>
      </c>
      <c r="B169" s="90" t="s">
        <v>62</v>
      </c>
      <c r="C169" s="91" t="s">
        <v>1216</v>
      </c>
      <c r="D169" s="91">
        <v>5.0999999999999996</v>
      </c>
      <c r="E169" s="91" t="s">
        <v>362</v>
      </c>
      <c r="F169" s="91" t="s">
        <v>206</v>
      </c>
      <c r="G169" s="91">
        <v>15</v>
      </c>
      <c r="H169" s="91"/>
      <c r="I169" s="12">
        <v>0</v>
      </c>
      <c r="J169" s="13">
        <v>0</v>
      </c>
      <c r="K169" s="13">
        <v>0</v>
      </c>
      <c r="L169" s="14">
        <f>LOG(I169+([3]Values!$D$8*J169)+([3]Values!$D$9*K169)+(M169*[3]Values!D$10)+(N169*[3]Values!$D$11)+1)</f>
        <v>8.0428829462874538E-2</v>
      </c>
      <c r="M169" s="116">
        <v>15</v>
      </c>
      <c r="N169" s="93">
        <v>2</v>
      </c>
      <c r="O169" s="106" t="s">
        <v>23</v>
      </c>
    </row>
    <row r="170" spans="1:15" ht="12.3">
      <c r="A170" s="115">
        <v>43292</v>
      </c>
      <c r="B170" s="90" t="s">
        <v>570</v>
      </c>
      <c r="C170" s="91" t="s">
        <v>1217</v>
      </c>
      <c r="D170" s="91">
        <v>4.3</v>
      </c>
      <c r="E170" s="91" t="s">
        <v>362</v>
      </c>
      <c r="F170" s="91" t="s">
        <v>20</v>
      </c>
      <c r="G170" s="91">
        <v>5</v>
      </c>
      <c r="H170" s="91">
        <v>5</v>
      </c>
      <c r="I170" s="12">
        <v>0</v>
      </c>
      <c r="J170" s="13">
        <v>0</v>
      </c>
      <c r="K170" s="13">
        <v>0</v>
      </c>
      <c r="L170" s="14">
        <f>LOG(I170+([3]Values!$D$8*J170)+([3]Values!$D$9*K170)+(M170*[3]Values!D$10)+(N170*[3]Values!$D$11)+1)</f>
        <v>8.0429091224550799E-3</v>
      </c>
      <c r="M170" s="93">
        <v>2</v>
      </c>
      <c r="N170" s="93">
        <v>0</v>
      </c>
      <c r="O170" s="106" t="s">
        <v>23</v>
      </c>
    </row>
    <row r="171" spans="1:15" ht="12.6">
      <c r="A171" s="115">
        <v>43293</v>
      </c>
      <c r="B171" s="90" t="s">
        <v>44</v>
      </c>
      <c r="C171" s="91" t="s">
        <v>1218</v>
      </c>
      <c r="D171" s="91">
        <v>4.4000000000000004</v>
      </c>
      <c r="E171" s="91" t="s">
        <v>362</v>
      </c>
      <c r="F171" s="91" t="s">
        <v>20</v>
      </c>
      <c r="G171" s="91">
        <v>5</v>
      </c>
      <c r="H171" s="91"/>
      <c r="I171" s="12">
        <v>0</v>
      </c>
      <c r="J171" s="13">
        <v>0</v>
      </c>
      <c r="K171" s="13">
        <v>0</v>
      </c>
      <c r="L171" s="14">
        <f>LOG(I171+([3]Values!$D$8*J171)+([3]Values!$D$9*K171)+(M171*[3]Values!D$10)+(N171*[3]Values!$D$11)+1)</f>
        <v>1.9834704505085086E-2</v>
      </c>
      <c r="M171" s="116">
        <v>5</v>
      </c>
      <c r="N171" s="93">
        <v>0</v>
      </c>
      <c r="O171" s="106" t="s">
        <v>23</v>
      </c>
    </row>
    <row r="172" spans="1:15" ht="12.3">
      <c r="A172" s="115">
        <v>43293</v>
      </c>
      <c r="B172" s="90" t="s">
        <v>1060</v>
      </c>
      <c r="C172" s="91"/>
      <c r="D172" s="91">
        <v>5.0999999999999996</v>
      </c>
      <c r="E172" s="91" t="s">
        <v>362</v>
      </c>
      <c r="F172" s="91" t="s">
        <v>20</v>
      </c>
      <c r="G172" s="91">
        <v>124</v>
      </c>
      <c r="H172" s="91"/>
      <c r="I172" s="12">
        <v>0</v>
      </c>
      <c r="J172" s="13">
        <v>0</v>
      </c>
      <c r="K172" s="13">
        <v>0</v>
      </c>
      <c r="L172" s="14">
        <f>LOG(I172+([3]Values!$D$8*J172)+([3]Values!$D$9*K172)+(M172*[3]Values!D$10)+(N172*[3]Values!$D$11)+1)</f>
        <v>0.19333639162242891</v>
      </c>
      <c r="M172" s="93">
        <v>60</v>
      </c>
      <c r="N172" s="93">
        <v>0</v>
      </c>
      <c r="O172" s="106" t="s">
        <v>23</v>
      </c>
    </row>
    <row r="173" spans="1:15" ht="12.6">
      <c r="A173" s="115">
        <v>43296</v>
      </c>
      <c r="B173" s="90" t="s">
        <v>17</v>
      </c>
      <c r="C173" s="91" t="s">
        <v>1090</v>
      </c>
      <c r="D173" s="91">
        <v>4.5999999999999996</v>
      </c>
      <c r="E173" s="91" t="s">
        <v>362</v>
      </c>
      <c r="F173" s="91" t="s">
        <v>206</v>
      </c>
      <c r="G173" s="91">
        <v>8</v>
      </c>
      <c r="H173" s="91"/>
      <c r="I173" s="12">
        <v>0</v>
      </c>
      <c r="J173" s="13">
        <v>5</v>
      </c>
      <c r="K173" s="13"/>
      <c r="L173" s="14">
        <f>LOG(I173+([3]Values!$D$8*J173)+([3]Values!$D$9*K173)+(M173*[3]Values!D$10)+(N173*[3]Values!$D$11)+1)</f>
        <v>0.382989445131654</v>
      </c>
      <c r="M173" s="116">
        <v>15</v>
      </c>
      <c r="N173" s="93"/>
      <c r="O173" s="106" t="s">
        <v>23</v>
      </c>
    </row>
    <row r="174" spans="1:15" ht="12.3">
      <c r="A174" s="115">
        <v>43296</v>
      </c>
      <c r="B174" s="90" t="s">
        <v>44</v>
      </c>
      <c r="C174" s="91" t="s">
        <v>725</v>
      </c>
      <c r="D174" s="91">
        <v>4.8</v>
      </c>
      <c r="E174" s="91" t="s">
        <v>478</v>
      </c>
      <c r="F174" s="91" t="s">
        <v>20</v>
      </c>
      <c r="G174" s="91"/>
      <c r="H174" s="91"/>
      <c r="I174" s="12">
        <v>0</v>
      </c>
      <c r="J174" s="13">
        <v>0</v>
      </c>
      <c r="K174" s="13">
        <v>0</v>
      </c>
      <c r="L174" s="14">
        <f>LOG(I174+([3]Values!$D$8*J174)+([3]Values!$D$9*K174)+(M174*[3]Values!D$10)+(N174*[3]Values!$D$11)+1)</f>
        <v>3.8802963825529238E-2</v>
      </c>
      <c r="M174" s="93">
        <v>10</v>
      </c>
      <c r="N174" s="93">
        <v>0</v>
      </c>
      <c r="O174" s="106" t="s">
        <v>23</v>
      </c>
    </row>
    <row r="175" spans="1:15" ht="12.6">
      <c r="A175" s="115">
        <v>43296</v>
      </c>
      <c r="B175" s="90" t="s">
        <v>17</v>
      </c>
      <c r="C175" s="91" t="s">
        <v>1219</v>
      </c>
      <c r="D175" s="91">
        <v>4.7</v>
      </c>
      <c r="E175" s="91" t="s">
        <v>362</v>
      </c>
      <c r="F175" s="91" t="s">
        <v>20</v>
      </c>
      <c r="G175" s="91">
        <v>10</v>
      </c>
      <c r="H175" s="91"/>
      <c r="I175" s="12">
        <v>0</v>
      </c>
      <c r="J175" s="13">
        <v>0</v>
      </c>
      <c r="K175" s="13"/>
      <c r="L175" s="14">
        <f>LOG(I175+([3]Values!$D$8*J175)+([3]Values!$D$9*K175)+(M175*[3]Values!D$10)+(N175*[3]Values!$D$11)+1)</f>
        <v>0.87749868541991061</v>
      </c>
      <c r="M175" s="116">
        <v>700</v>
      </c>
      <c r="N175" s="93"/>
      <c r="O175" s="106" t="s">
        <v>23</v>
      </c>
    </row>
    <row r="176" spans="1:15" ht="12.3">
      <c r="A176" s="115">
        <v>43298</v>
      </c>
      <c r="B176" s="90" t="s">
        <v>17</v>
      </c>
      <c r="C176" s="91" t="s">
        <v>1220</v>
      </c>
      <c r="D176" s="91">
        <v>4.9000000000000004</v>
      </c>
      <c r="E176" s="91" t="s">
        <v>362</v>
      </c>
      <c r="F176" s="91" t="s">
        <v>20</v>
      </c>
      <c r="G176" s="91">
        <v>9</v>
      </c>
      <c r="H176" s="91"/>
      <c r="I176" s="12">
        <v>0</v>
      </c>
      <c r="J176" s="13">
        <v>2</v>
      </c>
      <c r="K176" s="13">
        <v>150</v>
      </c>
      <c r="L176" s="14">
        <f>LOG(I176+([3]Values!$D$8*J176)+([3]Values!$D$9*K176)+(M176*[3]Values!D$10)+(N176*[3]Values!$D$11)+1)</f>
        <v>0.89130725194455662</v>
      </c>
      <c r="M176" s="93">
        <v>52</v>
      </c>
      <c r="N176" s="93">
        <v>96</v>
      </c>
      <c r="O176" s="106" t="s">
        <v>23</v>
      </c>
    </row>
    <row r="177" spans="1:15" ht="12.6">
      <c r="A177" s="115">
        <v>43300</v>
      </c>
      <c r="B177" s="90" t="s">
        <v>378</v>
      </c>
      <c r="C177" s="91" t="s">
        <v>1221</v>
      </c>
      <c r="D177" s="91">
        <v>5.2</v>
      </c>
      <c r="E177" s="113" t="str">
        <f>HYPERLINK("https://earthquake-report.com/2018/07/19/moderate-earthquake-colombia-july-19-2018/","Earthquake")</f>
        <v>Earthquake</v>
      </c>
      <c r="F177" s="91" t="s">
        <v>20</v>
      </c>
      <c r="G177" s="91"/>
      <c r="H177" s="91"/>
      <c r="I177" s="12">
        <v>0</v>
      </c>
      <c r="J177" s="13">
        <v>0</v>
      </c>
      <c r="K177" s="13">
        <v>28</v>
      </c>
      <c r="L177" s="14">
        <f>LOG(I177+([3]Values!$D$8*J177)+([3]Values!$D$9*K177)+(M177*[3]Values!D$10)+(N177*[3]Values!$D$11)+1)</f>
        <v>0.25389875806798312</v>
      </c>
      <c r="M177" s="116">
        <v>30</v>
      </c>
      <c r="N177" s="93">
        <v>0</v>
      </c>
      <c r="O177" s="106" t="s">
        <v>23</v>
      </c>
    </row>
    <row r="178" spans="1:15" ht="12.6">
      <c r="A178" s="115">
        <v>43300</v>
      </c>
      <c r="B178" s="90" t="s">
        <v>33</v>
      </c>
      <c r="C178" s="91" t="s">
        <v>34</v>
      </c>
      <c r="D178" s="90">
        <v>5.7</v>
      </c>
      <c r="E178" s="113" t="str">
        <f>HYPERLINK("https://earthquake-report.com/2018/07/19/strong-earthquake-central-mexico-july-19-2018/","Earthquake")</f>
        <v>Earthquake</v>
      </c>
      <c r="F178" s="91" t="s">
        <v>20</v>
      </c>
      <c r="G178" s="91">
        <v>55</v>
      </c>
      <c r="H178" s="91" t="s">
        <v>35</v>
      </c>
      <c r="I178" s="12">
        <v>0</v>
      </c>
      <c r="J178" s="13"/>
      <c r="K178" s="13"/>
      <c r="L178" s="14">
        <f>LOG(I178+([3]Values!$D$8*J178)+([3]Values!$D$9*K178)+(M178*[3]Values!D$10)+(N178*[3]Values!$D$11)+1)</f>
        <v>3.8802963825529238E-2</v>
      </c>
      <c r="M178" s="116">
        <v>10</v>
      </c>
      <c r="N178" s="93"/>
      <c r="O178" s="106" t="s">
        <v>23</v>
      </c>
    </row>
    <row r="179" spans="1:15" ht="12.6">
      <c r="A179" s="115">
        <v>43301</v>
      </c>
      <c r="B179" s="90" t="s">
        <v>44</v>
      </c>
      <c r="C179" s="91" t="s">
        <v>475</v>
      </c>
      <c r="D179" s="90">
        <v>5.2</v>
      </c>
      <c r="E179" s="112" t="s">
        <v>362</v>
      </c>
      <c r="F179" s="91" t="s">
        <v>20</v>
      </c>
      <c r="G179" s="91">
        <v>40</v>
      </c>
      <c r="H179" s="91"/>
      <c r="I179" s="12">
        <v>0</v>
      </c>
      <c r="J179" s="13">
        <v>0</v>
      </c>
      <c r="K179" s="13">
        <v>0</v>
      </c>
      <c r="L179" s="14">
        <f>LOG(I179+([3]Values!$D$8*J179)+([3]Values!$D$9*K179)+(M179*[3]Values!D$10)+(N179*[3]Values!$D$11)+1)</f>
        <v>4.616422168147357E-2</v>
      </c>
      <c r="M179" s="116">
        <v>12</v>
      </c>
      <c r="N179" s="93">
        <v>0</v>
      </c>
      <c r="O179" s="106" t="s">
        <v>23</v>
      </c>
    </row>
    <row r="180" spans="1:15" ht="12.3">
      <c r="A180" s="19">
        <v>43302</v>
      </c>
      <c r="B180" s="20" t="s">
        <v>44</v>
      </c>
      <c r="C180" s="20" t="s">
        <v>475</v>
      </c>
      <c r="D180" s="20">
        <v>5.5</v>
      </c>
      <c r="E180" s="110" t="str">
        <f>HYPERLINK("https://earthquake-report.com/2018/07/21/moderate-earthquake-southern-sumatra-indonesia-july-21-2018/","Earthquake")</f>
        <v>Earthquake</v>
      </c>
      <c r="F180" s="20" t="s">
        <v>20</v>
      </c>
      <c r="G180" s="20">
        <v>10</v>
      </c>
      <c r="H180" s="20"/>
      <c r="I180" s="12">
        <v>1</v>
      </c>
      <c r="J180" s="21">
        <v>3</v>
      </c>
      <c r="K180" s="27">
        <v>100</v>
      </c>
      <c r="L180" s="22">
        <f>LOG(I180+([3]Values!$D$8*J180)+([3]Values!$D$9*K180)+(M180*[3]Values!D$10)+(N180*[3]Values!$D$11)+1)</f>
        <v>0.76313953671752033</v>
      </c>
      <c r="M180" s="102">
        <v>67</v>
      </c>
      <c r="N180" s="102">
        <v>18</v>
      </c>
      <c r="O180" s="106" t="s">
        <v>23</v>
      </c>
    </row>
    <row r="181" spans="1:15" ht="12.6">
      <c r="A181" s="115">
        <v>43303</v>
      </c>
      <c r="B181" s="90" t="s">
        <v>17</v>
      </c>
      <c r="C181" s="91" t="s">
        <v>110</v>
      </c>
      <c r="D181" s="90">
        <v>5.7</v>
      </c>
      <c r="E181" s="91" t="s">
        <v>362</v>
      </c>
      <c r="F181" s="91" t="s">
        <v>20</v>
      </c>
      <c r="G181" s="91">
        <v>8</v>
      </c>
      <c r="H181" s="91"/>
      <c r="I181" s="12">
        <v>0</v>
      </c>
      <c r="J181" s="13">
        <v>0</v>
      </c>
      <c r="K181" s="13"/>
      <c r="L181" s="14">
        <f>LOG(I181+([3]Values!$D$8*J181)+([3]Values!$D$9*K181)+(M181*[3]Values!D$10)+(N181*[3]Values!$D$11)+1)</f>
        <v>0.28659154033067025</v>
      </c>
      <c r="M181" s="116">
        <v>100</v>
      </c>
      <c r="N181" s="93"/>
      <c r="O181" s="106" t="s">
        <v>23</v>
      </c>
    </row>
    <row r="182" spans="1:15" ht="12.3">
      <c r="A182" s="109">
        <v>43303</v>
      </c>
      <c r="B182" s="90" t="s">
        <v>17</v>
      </c>
      <c r="C182" s="90" t="s">
        <v>303</v>
      </c>
      <c r="D182" s="90">
        <v>5.9</v>
      </c>
      <c r="E182" s="110" t="str">
        <f>HYPERLINK("https://earthquake-report.com/2018/07/22/very-strong-earthquake-western-iran-july-22-2018/","Earthquake")</f>
        <v>Earthquake</v>
      </c>
      <c r="F182" s="90" t="s">
        <v>206</v>
      </c>
      <c r="G182" s="90">
        <v>8</v>
      </c>
      <c r="H182" s="90"/>
      <c r="I182" s="12">
        <v>0</v>
      </c>
      <c r="J182" s="13">
        <v>290</v>
      </c>
      <c r="K182" s="18">
        <v>500</v>
      </c>
      <c r="L182" s="14">
        <f>LOG(I182+([3]Values!$D$8*J182)+([3]Values!$D$9*K182)+(M182*[3]Values!D$10)+(N182*[3]Values!$D$11)+1)</f>
        <v>1.9817258772003981</v>
      </c>
      <c r="M182" s="97">
        <v>850</v>
      </c>
      <c r="N182" s="97">
        <v>120</v>
      </c>
      <c r="O182" s="114" t="s">
        <v>23</v>
      </c>
    </row>
    <row r="183" spans="1:15" ht="12.3">
      <c r="A183" s="109"/>
      <c r="B183" s="90"/>
      <c r="C183" s="90"/>
      <c r="D183" s="90">
        <v>5.9</v>
      </c>
      <c r="E183" s="90"/>
      <c r="F183" s="90"/>
      <c r="G183" s="90"/>
      <c r="H183" s="90"/>
      <c r="I183" s="12">
        <v>0</v>
      </c>
      <c r="J183" s="13">
        <v>0</v>
      </c>
      <c r="K183" s="13"/>
      <c r="L183" s="14">
        <f>LOG(I183+([3]Values!$D$8*J183)+([3]Values!$D$9*K183)+(M183*[3]Values!D$10)+(N183*[3]Values!$D$11)+1)</f>
        <v>3.8802963825529238E-2</v>
      </c>
      <c r="M183" s="117">
        <v>10</v>
      </c>
      <c r="N183" s="97"/>
      <c r="O183" s="114" t="s">
        <v>23</v>
      </c>
    </row>
    <row r="184" spans="1:15" ht="12.3">
      <c r="A184" s="109">
        <v>43303</v>
      </c>
      <c r="B184" s="90" t="s">
        <v>17</v>
      </c>
      <c r="C184" s="90" t="s">
        <v>1137</v>
      </c>
      <c r="D184" s="90">
        <v>5.8</v>
      </c>
      <c r="E184" s="110" t="str">
        <f>HYPERLINK("https://earthquake-report.com/2018/07/22/earthquakes-in-the-world-on-july-22-2018-m2-7-or-more/","Earthquake")</f>
        <v>Earthquake</v>
      </c>
      <c r="F184" s="90" t="s">
        <v>20</v>
      </c>
      <c r="G184" s="90">
        <v>10</v>
      </c>
      <c r="H184" s="90"/>
      <c r="I184" s="12">
        <v>0</v>
      </c>
      <c r="J184" s="13">
        <v>95</v>
      </c>
      <c r="K184" s="13"/>
      <c r="L184" s="14">
        <f>LOG(I184+([3]Values!$D$8*J184)+([3]Values!$D$9*K184)+(M184*[3]Values!D$10)+(N184*[3]Values!$D$11)+1)</f>
        <v>1.4404791935701731</v>
      </c>
      <c r="M184" s="117">
        <v>200</v>
      </c>
      <c r="N184" s="97">
        <v>15</v>
      </c>
      <c r="O184" s="114" t="s">
        <v>23</v>
      </c>
    </row>
    <row r="185" spans="1:15" ht="12.6">
      <c r="A185" s="115">
        <v>43303</v>
      </c>
      <c r="B185" s="90" t="s">
        <v>83</v>
      </c>
      <c r="C185" s="91" t="s">
        <v>150</v>
      </c>
      <c r="D185" s="91">
        <v>4.2</v>
      </c>
      <c r="E185" s="91" t="s">
        <v>362</v>
      </c>
      <c r="F185" s="91" t="s">
        <v>20</v>
      </c>
      <c r="G185" s="91"/>
      <c r="H185" s="91"/>
      <c r="I185" s="12">
        <v>0</v>
      </c>
      <c r="J185" s="13">
        <v>2</v>
      </c>
      <c r="K185" s="13">
        <v>0</v>
      </c>
      <c r="L185" s="14">
        <f>LOG(I185+([3]Values!$D$8*J185)+([3]Values!$D$9*K185)+(M185*[3]Values!D$10)+(N185*[3]Values!$D$11)+1)</f>
        <v>0.21755631941270856</v>
      </c>
      <c r="M185" s="116">
        <v>15</v>
      </c>
      <c r="N185" s="93">
        <v>0</v>
      </c>
      <c r="O185" s="106" t="s">
        <v>23</v>
      </c>
    </row>
    <row r="186" spans="1:15" ht="12.6">
      <c r="A186" s="115">
        <v>43306</v>
      </c>
      <c r="B186" s="90" t="s">
        <v>652</v>
      </c>
      <c r="C186" s="91" t="s">
        <v>1223</v>
      </c>
      <c r="D186" s="91">
        <v>3.1</v>
      </c>
      <c r="E186" s="91" t="s">
        <v>362</v>
      </c>
      <c r="F186" s="91" t="s">
        <v>20</v>
      </c>
      <c r="G186" s="91">
        <v>12</v>
      </c>
      <c r="H186" s="91" t="s">
        <v>684</v>
      </c>
      <c r="I186" s="12">
        <v>0</v>
      </c>
      <c r="J186" s="13">
        <v>0</v>
      </c>
      <c r="K186" s="13">
        <v>0</v>
      </c>
      <c r="L186" s="14">
        <f>LOG(I186+([3]Values!$D$8*J186)+([3]Values!$D$9*K186)+(M186*[3]Values!D$10)+(N186*[3]Values!$D$11)+1)</f>
        <v>1.2009188198087781E-2</v>
      </c>
      <c r="M186" s="116">
        <v>3</v>
      </c>
      <c r="N186" s="93">
        <v>0</v>
      </c>
      <c r="O186" s="106" t="s">
        <v>23</v>
      </c>
    </row>
    <row r="187" spans="1:15" ht="12.6">
      <c r="A187" s="115">
        <v>43309</v>
      </c>
      <c r="B187" s="90" t="s">
        <v>17</v>
      </c>
      <c r="C187" s="91" t="s">
        <v>1224</v>
      </c>
      <c r="D187" s="91">
        <v>4.0999999999999996</v>
      </c>
      <c r="E187" s="91" t="s">
        <v>362</v>
      </c>
      <c r="F187" s="91" t="s">
        <v>20</v>
      </c>
      <c r="G187" s="91">
        <v>10</v>
      </c>
      <c r="H187" s="91"/>
      <c r="I187" s="12">
        <v>0</v>
      </c>
      <c r="J187" s="13">
        <v>20</v>
      </c>
      <c r="K187" s="13">
        <v>0</v>
      </c>
      <c r="L187" s="14">
        <f>LOG(I187+([3]Values!$D$8*J187)+([3]Values!$D$9*K187)+(M187*[3]Values!D$10)+(N187*[3]Values!$D$11)+1)</f>
        <v>0.8143420568789046</v>
      </c>
      <c r="M187" s="116">
        <v>45</v>
      </c>
      <c r="N187" s="93">
        <v>0</v>
      </c>
      <c r="O187" s="106" t="s">
        <v>23</v>
      </c>
    </row>
    <row r="188" spans="1:15" ht="12.3">
      <c r="A188" s="19">
        <v>43309</v>
      </c>
      <c r="B188" s="20" t="s">
        <v>44</v>
      </c>
      <c r="C188" s="20" t="s">
        <v>176</v>
      </c>
      <c r="D188" s="20">
        <v>6.5</v>
      </c>
      <c r="E188" s="110" t="str">
        <f>HYPERLINK("https://earthquake-report.com/2018/07/28/very-strong-earthquake-sumbawa-region-indonesia-july-28-2018/","Earthquake")</f>
        <v>Earthquake</v>
      </c>
      <c r="F188" s="20" t="s">
        <v>20</v>
      </c>
      <c r="G188" s="20">
        <v>24</v>
      </c>
      <c r="H188" s="20" t="s">
        <v>363</v>
      </c>
      <c r="I188" s="12" t="s">
        <v>1225</v>
      </c>
      <c r="J188" s="21" t="s">
        <v>1226</v>
      </c>
      <c r="K188" s="21" t="s">
        <v>1227</v>
      </c>
      <c r="L188" s="14" t="e">
        <f>LOG(I188+([3]Values!$D$8*J188)+([3]Values!$D$9*K188)+(M188*[3]Values!D$10)+(N188*[3]Values!$D$11)+1)</f>
        <v>#VALUE!</v>
      </c>
      <c r="M188" s="108" t="s">
        <v>1228</v>
      </c>
      <c r="N188" s="102" t="s">
        <v>1229</v>
      </c>
      <c r="O188" s="103" t="s">
        <v>23</v>
      </c>
    </row>
    <row r="189" spans="1:15" ht="12.6">
      <c r="A189" s="115">
        <v>43313</v>
      </c>
      <c r="B189" s="90" t="s">
        <v>726</v>
      </c>
      <c r="C189" s="91" t="s">
        <v>1230</v>
      </c>
      <c r="D189" s="91">
        <v>2.6</v>
      </c>
      <c r="E189" s="91" t="s">
        <v>362</v>
      </c>
      <c r="F189" s="91" t="s">
        <v>69</v>
      </c>
      <c r="G189" s="91">
        <v>1</v>
      </c>
      <c r="H189" s="91" t="s">
        <v>684</v>
      </c>
      <c r="I189" s="12">
        <v>0</v>
      </c>
      <c r="J189" s="13">
        <v>0</v>
      </c>
      <c r="K189" s="13">
        <v>0</v>
      </c>
      <c r="L189" s="14">
        <f>LOG(I189+([3]Values!$D$8*J189)+([3]Values!$D$9*K189)+(M189*[3]Values!D$10)+(N189*[3]Values!$D$11)+1)</f>
        <v>8.0429091224550799E-3</v>
      </c>
      <c r="M189" s="116">
        <v>2</v>
      </c>
      <c r="N189" s="93">
        <v>0</v>
      </c>
      <c r="O189" s="106" t="s">
        <v>23</v>
      </c>
    </row>
    <row r="190" spans="1:15" ht="12.6">
      <c r="A190" s="115">
        <v>43317</v>
      </c>
      <c r="B190" s="90" t="s">
        <v>726</v>
      </c>
      <c r="C190" s="91" t="s">
        <v>1230</v>
      </c>
      <c r="D190" s="95">
        <v>3</v>
      </c>
      <c r="E190" s="91" t="s">
        <v>362</v>
      </c>
      <c r="F190" s="91" t="s">
        <v>69</v>
      </c>
      <c r="G190" s="91">
        <v>1</v>
      </c>
      <c r="H190" s="91" t="s">
        <v>134</v>
      </c>
      <c r="I190" s="12">
        <v>0</v>
      </c>
      <c r="J190" s="13">
        <v>0</v>
      </c>
      <c r="K190" s="13">
        <v>0</v>
      </c>
      <c r="L190" s="14">
        <f>LOG(I190+([3]Values!$D$8*J190)+([3]Values!$D$9*K190)+(M190*[3]Values!D$10)+(N190*[3]Values!$D$11)+1)</f>
        <v>4.0400731096553195E-3</v>
      </c>
      <c r="M190" s="116">
        <v>1</v>
      </c>
      <c r="N190" s="93">
        <v>0</v>
      </c>
      <c r="O190" s="106" t="s">
        <v>23</v>
      </c>
    </row>
    <row r="191" spans="1:15" ht="12.3">
      <c r="A191" s="19">
        <v>43317</v>
      </c>
      <c r="B191" s="20" t="s">
        <v>44</v>
      </c>
      <c r="C191" s="20" t="s">
        <v>176</v>
      </c>
      <c r="D191" s="20">
        <v>6.8</v>
      </c>
      <c r="E191" s="110" t="str">
        <f>HYPERLINK("https://earthquake-report.com/2018/08/05/very-strong-earthquake-sumbawa-region-indonesia-august-5-2018/","Earthquake")</f>
        <v>Earthquake</v>
      </c>
      <c r="F191" s="20" t="s">
        <v>20</v>
      </c>
      <c r="G191" s="20">
        <v>13</v>
      </c>
      <c r="H191" s="20" t="s">
        <v>363</v>
      </c>
      <c r="I191" s="12" t="s">
        <v>1231</v>
      </c>
      <c r="J191" s="21" t="s">
        <v>1232</v>
      </c>
      <c r="K191" s="21" t="s">
        <v>1233</v>
      </c>
      <c r="L191" s="22" t="e">
        <f>LOG(I191+([3]Values!$D$8*J191)+([3]Values!$D$9*K191)+(M191*[3]Values!D$10)+(N191*[3]Values!$D$11)+1)</f>
        <v>#VALUE!</v>
      </c>
      <c r="M191" s="108" t="s">
        <v>1234</v>
      </c>
      <c r="N191" s="102" t="s">
        <v>1235</v>
      </c>
      <c r="O191" s="103" t="s">
        <v>1236</v>
      </c>
    </row>
    <row r="192" spans="1:15" ht="12.3">
      <c r="A192" s="115">
        <v>43319</v>
      </c>
      <c r="B192" s="90" t="s">
        <v>24</v>
      </c>
      <c r="C192" s="91" t="s">
        <v>770</v>
      </c>
      <c r="D192" s="90"/>
      <c r="E192" s="112" t="s">
        <v>362</v>
      </c>
      <c r="F192" s="91" t="s">
        <v>69</v>
      </c>
      <c r="G192" s="91"/>
      <c r="H192" s="91"/>
      <c r="I192" s="12">
        <v>0</v>
      </c>
      <c r="J192" s="13">
        <v>0</v>
      </c>
      <c r="K192" s="13">
        <v>0</v>
      </c>
      <c r="L192" s="14">
        <f>LOG(I192+([3]Values!$D$8*J192)+([3]Values!$D$9*K192)+(M192*[3]Values!D$10)+(N192*[3]Values!$D$11)+1)</f>
        <v>3.8802963825529238E-2</v>
      </c>
      <c r="M192" s="117">
        <v>10</v>
      </c>
      <c r="N192" s="97">
        <v>0</v>
      </c>
      <c r="O192" s="114" t="s">
        <v>23</v>
      </c>
    </row>
    <row r="193" spans="1:15" ht="12.3">
      <c r="A193" s="115">
        <v>43319</v>
      </c>
      <c r="B193" s="90" t="s">
        <v>378</v>
      </c>
      <c r="C193" s="91" t="s">
        <v>1237</v>
      </c>
      <c r="D193" s="90">
        <v>5.8</v>
      </c>
      <c r="E193" s="113" t="str">
        <f>HYPERLINK("https://earthquake-report.com/2018/08/07/strong-earthquake-northern-colombia-august-7-2018/","Earthquake")</f>
        <v>Earthquake</v>
      </c>
      <c r="F193" s="91" t="s">
        <v>20</v>
      </c>
      <c r="G193" s="91">
        <v>143</v>
      </c>
      <c r="H193" s="91"/>
      <c r="I193" s="12">
        <v>0</v>
      </c>
      <c r="J193" s="13">
        <v>0</v>
      </c>
      <c r="K193" s="13">
        <v>0</v>
      </c>
      <c r="L193" s="14">
        <f>LOG(I193+([3]Values!$D$8*J193)+([3]Values!$D$9*K193)+(M193*[3]Values!D$10)+(N193*[3]Values!$D$11)+1)</f>
        <v>1.2009188198087781E-2</v>
      </c>
      <c r="M193" s="97">
        <v>3</v>
      </c>
      <c r="N193" s="97">
        <v>0</v>
      </c>
      <c r="O193" s="114" t="s">
        <v>23</v>
      </c>
    </row>
    <row r="194" spans="1:15" ht="12.3">
      <c r="A194" s="19">
        <v>43321</v>
      </c>
      <c r="B194" s="20" t="s">
        <v>44</v>
      </c>
      <c r="C194" s="20" t="s">
        <v>176</v>
      </c>
      <c r="D194" s="20">
        <v>5.9</v>
      </c>
      <c r="E194" s="110" t="str">
        <f>HYPERLINK("https://earthquake-report.com/2018/08/09/very-strong-earthquake-sumbawa-region-indonesia-august-9-2018/","Earthquake")</f>
        <v>Earthquake</v>
      </c>
      <c r="F194" s="20" t="s">
        <v>206</v>
      </c>
      <c r="G194" s="20"/>
      <c r="H194" s="20" t="s">
        <v>123</v>
      </c>
      <c r="I194" s="12" t="s">
        <v>1238</v>
      </c>
      <c r="J194" s="21" t="s">
        <v>1239</v>
      </c>
      <c r="K194" s="21"/>
      <c r="L194" s="22" t="e">
        <f>LOG(I194+([3]Values!$D$8*J194)+([3]Values!$D$9*K194)+(M194*[3]Values!D$10)+(N194*[3]Values!$D$11)+1)</f>
        <v>#VALUE!</v>
      </c>
      <c r="M194" s="108"/>
      <c r="N194" s="102"/>
      <c r="O194" s="103" t="s">
        <v>23</v>
      </c>
    </row>
    <row r="195" spans="1:15" ht="12.3">
      <c r="A195" s="115">
        <v>43323</v>
      </c>
      <c r="B195" s="90" t="s">
        <v>67</v>
      </c>
      <c r="C195" s="91" t="s">
        <v>68</v>
      </c>
      <c r="D195" s="91">
        <v>3.5</v>
      </c>
      <c r="E195" s="113" t="str">
        <f>HYPERLINK("https://earthquake-report.com/2018/08/11/minor-earthquake-poland-august-11-2018/","Earthquake")</f>
        <v>Earthquake</v>
      </c>
      <c r="F195" s="91" t="s">
        <v>69</v>
      </c>
      <c r="G195" s="91">
        <v>1</v>
      </c>
      <c r="H195" s="91"/>
      <c r="I195" s="12">
        <v>0</v>
      </c>
      <c r="J195" s="13">
        <v>0</v>
      </c>
      <c r="K195" s="13">
        <v>0</v>
      </c>
      <c r="L195" s="14">
        <f>LOG(I195+([3]Values!$D$8*J195)+([3]Values!$D$9*K195)+(M195*[3]Values!D$10)+(N195*[3]Values!$D$11)+1)</f>
        <v>9.4469875492669095E-2</v>
      </c>
      <c r="M195" s="93">
        <v>26</v>
      </c>
      <c r="N195" s="93">
        <v>0</v>
      </c>
      <c r="O195" s="106" t="s">
        <v>23</v>
      </c>
    </row>
    <row r="196" spans="1:15" ht="12.3">
      <c r="A196" s="115">
        <v>43323</v>
      </c>
      <c r="B196" s="90" t="s">
        <v>292</v>
      </c>
      <c r="C196" s="91" t="s">
        <v>1240</v>
      </c>
      <c r="D196" s="91">
        <v>5.0999999999999996</v>
      </c>
      <c r="E196" s="113" t="str">
        <f>HYPERLINK("https://earthquake-report.com/2018/08/11/strong-earthquake-albania-august-11-2018/","Earthquake")</f>
        <v>Earthquake</v>
      </c>
      <c r="F196" s="91" t="s">
        <v>20</v>
      </c>
      <c r="G196" s="91">
        <v>24</v>
      </c>
      <c r="H196" s="91"/>
      <c r="I196" s="12">
        <v>0</v>
      </c>
      <c r="J196" s="13">
        <v>4</v>
      </c>
      <c r="K196" s="18">
        <v>105</v>
      </c>
      <c r="L196" s="14">
        <f>LOG(I196+([3]Values!$D$8*J196)+([3]Values!$D$9*K196)+(M196*[3]Values!D$10)+(N196*[3]Values!$D$11)+1)</f>
        <v>0.74904149899069683</v>
      </c>
      <c r="M196" s="93">
        <v>178</v>
      </c>
      <c r="N196" s="93">
        <v>0</v>
      </c>
      <c r="O196" s="106" t="s">
        <v>23</v>
      </c>
    </row>
    <row r="197" spans="1:15" ht="12.3">
      <c r="A197" s="109">
        <v>43324</v>
      </c>
      <c r="B197" s="90" t="s">
        <v>83</v>
      </c>
      <c r="C197" s="90" t="s">
        <v>323</v>
      </c>
      <c r="D197" s="100">
        <v>5</v>
      </c>
      <c r="E197" s="110" t="str">
        <f>HYPERLINK("https://earthquake-report.com/2018/08/12/moderate-earthquake-yunnan-china-august-12-2018/","doublet EQ")</f>
        <v>doublet EQ</v>
      </c>
      <c r="F197" s="90" t="s">
        <v>20</v>
      </c>
      <c r="G197" s="90">
        <v>7</v>
      </c>
      <c r="H197" s="90"/>
      <c r="I197" s="12">
        <v>0</v>
      </c>
      <c r="J197" s="13">
        <v>24</v>
      </c>
      <c r="K197" s="18">
        <v>46000</v>
      </c>
      <c r="L197" s="14">
        <f>LOG(I197+([3]Values!$D$8*J197)+([3]Values!$D$9*K197)+(M197*[3]Values!D$10)+(N197*[3]Values!$D$11)+1)</f>
        <v>2.9868831811528116</v>
      </c>
      <c r="M197" s="97">
        <v>9666</v>
      </c>
      <c r="N197" s="97">
        <v>900</v>
      </c>
      <c r="O197" s="114" t="s">
        <v>23</v>
      </c>
    </row>
    <row r="198" spans="1:15" ht="12.6">
      <c r="A198" s="115">
        <v>43325</v>
      </c>
      <c r="B198" s="90" t="s">
        <v>652</v>
      </c>
      <c r="C198" s="91" t="s">
        <v>1223</v>
      </c>
      <c r="D198" s="91">
        <v>4.3</v>
      </c>
      <c r="E198" s="91" t="s">
        <v>362</v>
      </c>
      <c r="F198" s="91" t="s">
        <v>20</v>
      </c>
      <c r="G198" s="91">
        <v>11</v>
      </c>
      <c r="H198" s="91" t="s">
        <v>134</v>
      </c>
      <c r="I198" s="12">
        <v>0</v>
      </c>
      <c r="J198" s="13">
        <v>0</v>
      </c>
      <c r="K198" s="13">
        <v>0</v>
      </c>
      <c r="L198" s="14">
        <f>LOG(I198+([3]Values!$D$8*J198)+([3]Values!$D$9*K198)+(M198*[3]Values!D$10)+(N198*[3]Values!$D$11)+1)</f>
        <v>1.2009188198087781E-2</v>
      </c>
      <c r="M198" s="116">
        <v>3</v>
      </c>
      <c r="N198" s="93">
        <v>0</v>
      </c>
      <c r="O198" s="106" t="s">
        <v>23</v>
      </c>
    </row>
    <row r="199" spans="1:15" ht="12.6">
      <c r="A199" s="115">
        <v>43326</v>
      </c>
      <c r="B199" s="90" t="s">
        <v>199</v>
      </c>
      <c r="C199" s="91" t="s">
        <v>1241</v>
      </c>
      <c r="D199" s="91">
        <v>4.7</v>
      </c>
      <c r="E199" s="91" t="s">
        <v>362</v>
      </c>
      <c r="F199" s="91" t="s">
        <v>20</v>
      </c>
      <c r="G199" s="91"/>
      <c r="H199" s="91"/>
      <c r="I199" s="12">
        <v>0</v>
      </c>
      <c r="J199" s="13">
        <v>0</v>
      </c>
      <c r="K199" s="13">
        <v>0</v>
      </c>
      <c r="L199" s="14">
        <f>LOG(I199+([3]Values!$D$8*J199)+([3]Values!$D$9*K199)+(M199*[3]Values!D$10)+(N199*[3]Values!$D$11)+1)</f>
        <v>9.6973323641446132E-2</v>
      </c>
      <c r="M199" s="116">
        <v>20</v>
      </c>
      <c r="N199" s="93">
        <v>2</v>
      </c>
      <c r="O199" s="106" t="s">
        <v>23</v>
      </c>
    </row>
    <row r="200" spans="1:15" ht="12.3">
      <c r="A200" s="115">
        <v>43327</v>
      </c>
      <c r="B200" s="90" t="s">
        <v>83</v>
      </c>
      <c r="C200" s="91" t="s">
        <v>871</v>
      </c>
      <c r="D200" s="91">
        <v>4.4000000000000004</v>
      </c>
      <c r="E200" s="91" t="s">
        <v>362</v>
      </c>
      <c r="F200" s="91" t="s">
        <v>20</v>
      </c>
      <c r="G200" s="91">
        <v>10</v>
      </c>
      <c r="H200" s="91"/>
      <c r="I200" s="12">
        <v>0</v>
      </c>
      <c r="J200" s="13">
        <v>0</v>
      </c>
      <c r="K200" s="13">
        <v>382</v>
      </c>
      <c r="L200" s="14">
        <f>LOG(I200+([3]Values!$D$8*J200)+([3]Values!$D$9*K200)+(M200*[3]Values!D$10)+(N200*[3]Values!$D$11)+1)</f>
        <v>0.92545462928366129</v>
      </c>
      <c r="M200" s="93">
        <v>44</v>
      </c>
      <c r="N200" s="93">
        <v>0</v>
      </c>
      <c r="O200" s="106" t="s">
        <v>23</v>
      </c>
    </row>
    <row r="201" spans="1:15" ht="12.3">
      <c r="A201" s="115">
        <v>43328</v>
      </c>
      <c r="B201" s="90" t="s">
        <v>726</v>
      </c>
      <c r="C201" s="91" t="s">
        <v>1005</v>
      </c>
      <c r="D201" s="95">
        <v>3</v>
      </c>
      <c r="E201" s="91" t="s">
        <v>362</v>
      </c>
      <c r="F201" s="91" t="s">
        <v>617</v>
      </c>
      <c r="G201" s="91">
        <v>2</v>
      </c>
      <c r="H201" s="91" t="s">
        <v>684</v>
      </c>
      <c r="I201" s="12">
        <v>0</v>
      </c>
      <c r="J201" s="13">
        <v>0</v>
      </c>
      <c r="K201" s="13">
        <v>0</v>
      </c>
      <c r="L201" s="14">
        <f>LOG(I201+([3]Values!$D$8*J201)+([3]Values!$D$9*K201)+(M201*[3]Values!D$10)+(N201*[3]Values!$D$11)+1)</f>
        <v>4.0400731096553195E-3</v>
      </c>
      <c r="M201" s="93">
        <v>1</v>
      </c>
      <c r="N201" s="93">
        <v>0</v>
      </c>
      <c r="O201" s="106" t="s">
        <v>23</v>
      </c>
    </row>
    <row r="202" spans="1:15" ht="12.6">
      <c r="A202" s="115">
        <v>43328</v>
      </c>
      <c r="B202" s="90" t="s">
        <v>199</v>
      </c>
      <c r="C202" s="91" t="s">
        <v>1241</v>
      </c>
      <c r="D202" s="91">
        <v>5.2</v>
      </c>
      <c r="E202" s="91" t="s">
        <v>362</v>
      </c>
      <c r="F202" s="91" t="s">
        <v>20</v>
      </c>
      <c r="G202" s="91">
        <v>9</v>
      </c>
      <c r="H202" s="91" t="s">
        <v>123</v>
      </c>
      <c r="I202" s="12">
        <v>0</v>
      </c>
      <c r="J202" s="13">
        <v>2</v>
      </c>
      <c r="K202" s="13">
        <v>200</v>
      </c>
      <c r="L202" s="14">
        <f>LOG(I202+([3]Values!$D$8*J202)+([3]Values!$D$9*K202)+(M202*[3]Values!D$10)+(N202*[3]Values!$D$11)+1)</f>
        <v>0.97317784289386156</v>
      </c>
      <c r="M202" s="116">
        <v>350</v>
      </c>
      <c r="N202" s="93">
        <v>30</v>
      </c>
      <c r="O202" s="106" t="s">
        <v>23</v>
      </c>
    </row>
    <row r="203" spans="1:15" ht="12.6">
      <c r="A203" s="115">
        <v>43329</v>
      </c>
      <c r="B203" s="90" t="s">
        <v>33</v>
      </c>
      <c r="C203" s="91" t="s">
        <v>1242</v>
      </c>
      <c r="D203" s="91">
        <v>3.7</v>
      </c>
      <c r="E203" s="91" t="s">
        <v>362</v>
      </c>
      <c r="F203" s="91" t="s">
        <v>20</v>
      </c>
      <c r="G203" s="91">
        <v>5</v>
      </c>
      <c r="H203" s="91"/>
      <c r="I203" s="12">
        <v>0</v>
      </c>
      <c r="J203" s="13">
        <v>0</v>
      </c>
      <c r="K203" s="13">
        <v>0</v>
      </c>
      <c r="L203" s="14">
        <f>LOG(I203+([3]Values!$D$8*J203)+([3]Values!$D$9*K203)+(M203*[3]Values!D$10)+(N203*[3]Values!$D$11)+1)</f>
        <v>1.9834704505085086E-2</v>
      </c>
      <c r="M203" s="116">
        <v>5</v>
      </c>
      <c r="N203" s="93">
        <v>0</v>
      </c>
      <c r="O203" s="106" t="s">
        <v>23</v>
      </c>
    </row>
    <row r="204" spans="1:15" ht="12.6">
      <c r="A204" s="115">
        <v>43329</v>
      </c>
      <c r="B204" s="90" t="s">
        <v>241</v>
      </c>
      <c r="C204" s="91" t="s">
        <v>242</v>
      </c>
      <c r="D204" s="91">
        <v>6.1</v>
      </c>
      <c r="E204" s="91" t="s">
        <v>362</v>
      </c>
      <c r="F204" s="91" t="s">
        <v>20</v>
      </c>
      <c r="G204" s="91"/>
      <c r="H204" s="91" t="s">
        <v>123</v>
      </c>
      <c r="I204" s="12">
        <v>0</v>
      </c>
      <c r="J204" s="13">
        <v>0</v>
      </c>
      <c r="K204" s="13">
        <v>0</v>
      </c>
      <c r="L204" s="14">
        <f>LOG(I204+([3]Values!$D$8*J204)+([3]Values!$D$9*K204)+(M204*[3]Values!D$10)+(N204*[3]Values!$D$11)+1)</f>
        <v>4.0400731096553195E-3</v>
      </c>
      <c r="M204" s="116">
        <v>1</v>
      </c>
      <c r="N204" s="93">
        <v>0</v>
      </c>
      <c r="O204" s="106" t="s">
        <v>23</v>
      </c>
    </row>
    <row r="205" spans="1:15" ht="12.3">
      <c r="A205" s="19">
        <v>43331</v>
      </c>
      <c r="B205" s="20" t="s">
        <v>44</v>
      </c>
      <c r="C205" s="20" t="s">
        <v>176</v>
      </c>
      <c r="D205" s="20">
        <v>6.3</v>
      </c>
      <c r="E205" s="110" t="str">
        <f>HYPERLINK("https://earthquake-report.com/2018/08/19/moderate-earthquake-sumbawa-region-indonesia-august-19-2018/","Earthquake")</f>
        <v>Earthquake</v>
      </c>
      <c r="F205" s="20" t="s">
        <v>20</v>
      </c>
      <c r="G205" s="20">
        <v>8</v>
      </c>
      <c r="H205" s="20" t="s">
        <v>123</v>
      </c>
      <c r="I205" s="12" t="s">
        <v>1243</v>
      </c>
      <c r="J205" s="21" t="s">
        <v>1132</v>
      </c>
      <c r="K205" s="21"/>
      <c r="L205" s="22" t="e">
        <f>LOG(I205+([3]Values!$D$8*J205)+([3]Values!$D$9*K205)+(M205*[3]Values!D$10)+(N205*[3]Values!$D$11)+1)</f>
        <v>#VALUE!</v>
      </c>
      <c r="M205" s="108" t="s">
        <v>1244</v>
      </c>
      <c r="N205" s="108" t="s">
        <v>1245</v>
      </c>
      <c r="O205" s="103" t="s">
        <v>23</v>
      </c>
    </row>
    <row r="206" spans="1:15" ht="12.3">
      <c r="A206" s="19">
        <v>43331</v>
      </c>
      <c r="B206" s="20" t="s">
        <v>44</v>
      </c>
      <c r="C206" s="20" t="s">
        <v>176</v>
      </c>
      <c r="D206" s="20">
        <v>6.8</v>
      </c>
      <c r="E206" s="110" t="str">
        <f>HYPERLINK("https://earthquake-report.com/2018/08/19/very-strong-earthquake-sumbawa-region-indonesia-august-19-2018/","Earthquake")</f>
        <v>Earthquake</v>
      </c>
      <c r="F206" s="20" t="s">
        <v>20</v>
      </c>
      <c r="G206" s="20"/>
      <c r="H206" s="20" t="s">
        <v>363</v>
      </c>
      <c r="I206" s="12" t="s">
        <v>1246</v>
      </c>
      <c r="J206" s="21" t="s">
        <v>1239</v>
      </c>
      <c r="K206" s="21" t="s">
        <v>1247</v>
      </c>
      <c r="L206" s="22" t="e">
        <f>LOG(I206+([3]Values!$D$8*J206)+([3]Values!$D$9*K206)+(M206*[3]Values!D$10)+(N206*[3]Values!$D$11)+1)</f>
        <v>#VALUE!</v>
      </c>
      <c r="M206" s="108"/>
      <c r="N206" s="102" t="s">
        <v>1248</v>
      </c>
      <c r="O206" s="103" t="s">
        <v>23</v>
      </c>
    </row>
    <row r="207" spans="1:15" ht="12.6">
      <c r="A207" s="115">
        <v>43331</v>
      </c>
      <c r="B207" s="90" t="s">
        <v>105</v>
      </c>
      <c r="C207" s="91" t="s">
        <v>1249</v>
      </c>
      <c r="D207" s="91">
        <v>4.8</v>
      </c>
      <c r="E207" s="113" t="str">
        <f>HYPERLINK("https://earthquake-report.com/2018/08/19/moderate-earthquake-central-turkey-august-19-2018/","Earthquake")</f>
        <v>Earthquake</v>
      </c>
      <c r="F207" s="91" t="s">
        <v>20</v>
      </c>
      <c r="G207" s="91"/>
      <c r="H207" s="91"/>
      <c r="I207" s="12">
        <v>0</v>
      </c>
      <c r="J207" s="13">
        <v>0</v>
      </c>
      <c r="K207" s="13"/>
      <c r="L207" s="14">
        <f>LOG(I207+([3]Values!$D$8*J207)+([3]Values!$D$9*K207)+(M207*[3]Values!D$10)+(N207*[3]Values!$D$11)+1)</f>
        <v>3.8802963825529238E-2</v>
      </c>
      <c r="M207" s="116">
        <v>10</v>
      </c>
      <c r="N207" s="93"/>
      <c r="O207" s="106" t="s">
        <v>23</v>
      </c>
    </row>
    <row r="208" spans="1:15" ht="12.6">
      <c r="A208" s="115">
        <v>43333</v>
      </c>
      <c r="B208" s="90" t="s">
        <v>24</v>
      </c>
      <c r="C208" s="91" t="s">
        <v>397</v>
      </c>
      <c r="D208" s="91">
        <v>2.5</v>
      </c>
      <c r="E208" s="91" t="s">
        <v>478</v>
      </c>
      <c r="F208" s="91" t="s">
        <v>192</v>
      </c>
      <c r="G208" s="91"/>
      <c r="H208" s="91"/>
      <c r="I208" s="12">
        <v>0</v>
      </c>
      <c r="J208" s="13">
        <v>0</v>
      </c>
      <c r="K208" s="18">
        <v>100</v>
      </c>
      <c r="L208" s="14">
        <f>LOG(I208+([3]Values!$D$8*J208)+([3]Values!$D$9*K208)+(M208*[3]Values!D$10)+(N208*[3]Values!$D$11)+1)</f>
        <v>0.5391937022576081</v>
      </c>
      <c r="M208" s="116">
        <v>50</v>
      </c>
      <c r="N208" s="93">
        <v>5</v>
      </c>
      <c r="O208" s="106" t="s">
        <v>23</v>
      </c>
    </row>
    <row r="209" spans="1:15" ht="12.3">
      <c r="A209" s="19">
        <v>43333</v>
      </c>
      <c r="B209" s="20" t="s">
        <v>346</v>
      </c>
      <c r="C209" s="20" t="s">
        <v>347</v>
      </c>
      <c r="D209" s="20">
        <v>7.3</v>
      </c>
      <c r="E209" s="20" t="s">
        <v>362</v>
      </c>
      <c r="F209" s="20" t="s">
        <v>20</v>
      </c>
      <c r="G209" s="20">
        <v>120</v>
      </c>
      <c r="H209" s="20" t="s">
        <v>123</v>
      </c>
      <c r="I209" s="12">
        <v>5</v>
      </c>
      <c r="J209" s="13">
        <v>1</v>
      </c>
      <c r="K209" s="21">
        <v>200</v>
      </c>
      <c r="L209" s="22">
        <f>LOG(I209+([3]Values!$D$8*J209)+([3]Values!$D$9*K209)+(M209*[3]Values!D$10)+(N209*[3]Values!$D$11)+1)</f>
        <v>1.1501947930381173</v>
      </c>
      <c r="M209" s="108">
        <v>450</v>
      </c>
      <c r="N209" s="93"/>
      <c r="O209" s="106" t="s">
        <v>23</v>
      </c>
    </row>
    <row r="210" spans="1:15" ht="12.6">
      <c r="A210" s="115"/>
      <c r="B210" s="90"/>
      <c r="C210" s="91"/>
      <c r="D210" s="20">
        <v>7.3</v>
      </c>
      <c r="E210" s="91"/>
      <c r="F210" s="91"/>
      <c r="G210" s="91"/>
      <c r="H210" s="91"/>
      <c r="I210" s="12">
        <v>0</v>
      </c>
      <c r="J210" s="13">
        <v>5</v>
      </c>
      <c r="K210" s="18">
        <v>250</v>
      </c>
      <c r="L210" s="14">
        <f>LOG(I210+([3]Values!$D$8*J210)+([3]Values!$D$9*K210)+(M210*[3]Values!D$10)+(N210*[3]Values!$D$11)+1)</f>
        <v>1.1178832355990491</v>
      </c>
      <c r="M210" s="108">
        <v>500</v>
      </c>
      <c r="N210" s="116">
        <v>50</v>
      </c>
      <c r="O210" s="106" t="s">
        <v>23</v>
      </c>
    </row>
    <row r="211" spans="1:15" ht="12.6">
      <c r="A211" s="115"/>
      <c r="B211" s="90"/>
      <c r="C211" s="91"/>
      <c r="D211" s="20">
        <v>7.3</v>
      </c>
      <c r="E211" s="91"/>
      <c r="F211" s="91"/>
      <c r="G211" s="91"/>
      <c r="H211" s="91"/>
      <c r="I211" s="12">
        <v>0</v>
      </c>
      <c r="J211" s="13">
        <v>0</v>
      </c>
      <c r="K211" s="18">
        <v>20</v>
      </c>
      <c r="L211" s="14">
        <f>LOG(I211+([3]Values!$D$8*J211)+([3]Values!$D$9*K211)+(M211*[3]Values!D$10)+(N211*[3]Values!$D$11)+1)</f>
        <v>0.30097303591808933</v>
      </c>
      <c r="M211" s="108">
        <v>44</v>
      </c>
      <c r="N211" s="116">
        <v>7</v>
      </c>
      <c r="O211" s="106" t="s">
        <v>23</v>
      </c>
    </row>
    <row r="212" spans="1:15" ht="12.6">
      <c r="A212" s="115">
        <v>43333</v>
      </c>
      <c r="B212" s="90" t="s">
        <v>1251</v>
      </c>
      <c r="C212" s="91" t="s">
        <v>1252</v>
      </c>
      <c r="D212" s="91">
        <v>6.5</v>
      </c>
      <c r="E212" s="91" t="s">
        <v>362</v>
      </c>
      <c r="F212" s="91" t="s">
        <v>20</v>
      </c>
      <c r="G212" s="91">
        <v>13</v>
      </c>
      <c r="H212" s="91" t="s">
        <v>363</v>
      </c>
      <c r="I212" s="12">
        <v>0</v>
      </c>
      <c r="J212" s="13">
        <v>1</v>
      </c>
      <c r="K212" s="18">
        <v>100</v>
      </c>
      <c r="L212" s="14">
        <f>LOG(I212+([3]Values!$D$8*J212)+([3]Values!$D$9*K212)+(M212*[3]Values!D$10)+(N212*[3]Values!$D$11)+1)</f>
        <v>0.66817567336898842</v>
      </c>
      <c r="M212" s="116">
        <v>100</v>
      </c>
      <c r="N212" s="93">
        <v>20</v>
      </c>
      <c r="O212" s="106" t="s">
        <v>23</v>
      </c>
    </row>
    <row r="213" spans="1:15" ht="12.6">
      <c r="A213" s="115">
        <v>43334</v>
      </c>
      <c r="B213" s="90" t="s">
        <v>346</v>
      </c>
      <c r="C213" s="91" t="s">
        <v>347</v>
      </c>
      <c r="D213" s="91">
        <v>5.7</v>
      </c>
      <c r="E213" s="91" t="s">
        <v>362</v>
      </c>
      <c r="F213" s="91" t="s">
        <v>206</v>
      </c>
      <c r="G213" s="91">
        <v>98</v>
      </c>
      <c r="H213" s="91" t="s">
        <v>684</v>
      </c>
      <c r="I213" s="12">
        <v>0</v>
      </c>
      <c r="J213" s="13">
        <v>0</v>
      </c>
      <c r="K213" s="13">
        <v>0</v>
      </c>
      <c r="L213" s="14">
        <f>LOG(I213+([3]Values!$D$8*J213)+([3]Values!$D$9*K213)+(M213*[3]Values!D$10)+(N213*[3]Values!$D$11)+1)</f>
        <v>4.0400731096553195E-3</v>
      </c>
      <c r="M213" s="116">
        <v>1</v>
      </c>
      <c r="N213" s="93">
        <v>0</v>
      </c>
      <c r="O213" s="106" t="s">
        <v>23</v>
      </c>
    </row>
    <row r="214" spans="1:15" ht="12.6">
      <c r="A214" s="115"/>
      <c r="B214" s="90"/>
      <c r="C214" s="91"/>
      <c r="D214" s="91">
        <v>5.7</v>
      </c>
      <c r="E214" s="91"/>
      <c r="F214" s="91"/>
      <c r="G214" s="91"/>
      <c r="H214" s="91"/>
      <c r="I214" s="12">
        <v>0</v>
      </c>
      <c r="J214" s="13">
        <v>0</v>
      </c>
      <c r="K214" s="13">
        <v>0</v>
      </c>
      <c r="L214" s="14">
        <f>LOG(I214+([3]Values!$D$8*J214)+([3]Values!$D$9*K214)+(M214*[3]Values!D$10)+(N214*[3]Values!$D$11)+1)</f>
        <v>1.9834704505085086E-2</v>
      </c>
      <c r="M214" s="116">
        <v>5</v>
      </c>
      <c r="N214" s="93"/>
      <c r="O214" s="106" t="s">
        <v>23</v>
      </c>
    </row>
    <row r="215" spans="1:15" ht="12.6">
      <c r="A215" s="115">
        <v>43334</v>
      </c>
      <c r="B215" s="90" t="s">
        <v>33</v>
      </c>
      <c r="C215" s="91" t="s">
        <v>148</v>
      </c>
      <c r="D215" s="91">
        <v>5.3</v>
      </c>
      <c r="E215" s="91" t="s">
        <v>362</v>
      </c>
      <c r="F215" s="91" t="s">
        <v>20</v>
      </c>
      <c r="G215" s="91">
        <v>16</v>
      </c>
      <c r="H215" s="91"/>
      <c r="I215" s="12">
        <v>0</v>
      </c>
      <c r="J215" s="13">
        <v>0</v>
      </c>
      <c r="K215" s="13">
        <v>0</v>
      </c>
      <c r="L215" s="14">
        <f>LOG(I215+([3]Values!$D$8*J215)+([3]Values!$D$9*K215)+(M215*[3]Values!D$10)+(N215*[3]Values!$D$11)+1)</f>
        <v>4.0400731096553195E-3</v>
      </c>
      <c r="M215" s="116">
        <v>1</v>
      </c>
      <c r="N215" s="93">
        <v>0</v>
      </c>
      <c r="O215" s="106" t="s">
        <v>23</v>
      </c>
    </row>
    <row r="216" spans="1:15" ht="12.3">
      <c r="A216" s="115">
        <v>43334</v>
      </c>
      <c r="B216" s="90" t="s">
        <v>1251</v>
      </c>
      <c r="C216" s="91" t="s">
        <v>1252</v>
      </c>
      <c r="D216" s="91">
        <v>5.0999999999999996</v>
      </c>
      <c r="E216" s="91" t="s">
        <v>362</v>
      </c>
      <c r="F216" s="91" t="s">
        <v>206</v>
      </c>
      <c r="G216" s="91"/>
      <c r="H216" s="91"/>
      <c r="I216" s="12">
        <v>0</v>
      </c>
      <c r="J216" s="13">
        <v>0</v>
      </c>
      <c r="K216" s="13">
        <v>0</v>
      </c>
      <c r="L216" s="14">
        <f>LOG(I216+([3]Values!$D$8*J216)+([3]Values!$D$9*K216)+(M216*[3]Values!D$10)+(N216*[3]Values!$D$11)+1)</f>
        <v>8.0429091224550799E-3</v>
      </c>
      <c r="M216" s="93">
        <v>2</v>
      </c>
      <c r="N216" s="93">
        <v>0</v>
      </c>
      <c r="O216" s="106" t="s">
        <v>23</v>
      </c>
    </row>
    <row r="217" spans="1:15" ht="12.3">
      <c r="A217" s="115">
        <v>43335</v>
      </c>
      <c r="B217" s="90" t="s">
        <v>17</v>
      </c>
      <c r="C217" s="91" t="s">
        <v>1137</v>
      </c>
      <c r="D217" s="91">
        <v>4.7</v>
      </c>
      <c r="E217" s="91" t="s">
        <v>362</v>
      </c>
      <c r="F217" s="91" t="s">
        <v>20</v>
      </c>
      <c r="G217" s="91">
        <v>50</v>
      </c>
      <c r="H217" s="91"/>
      <c r="I217" s="12">
        <v>0</v>
      </c>
      <c r="J217" s="13">
        <v>2</v>
      </c>
      <c r="K217" s="13">
        <v>0</v>
      </c>
      <c r="L217" s="14">
        <f>LOG(I217+([3]Values!$D$8*J217)+([3]Values!$D$9*K217)+(M217*[3]Values!D$10)+(N217*[3]Values!$D$11)+1)</f>
        <v>0.52882519798138317</v>
      </c>
      <c r="M217" s="93">
        <v>200</v>
      </c>
      <c r="N217" s="93">
        <v>0</v>
      </c>
      <c r="O217" s="106" t="s">
        <v>23</v>
      </c>
    </row>
    <row r="218" spans="1:15" ht="12.6">
      <c r="A218" s="115">
        <v>43335</v>
      </c>
      <c r="B218" s="90" t="s">
        <v>17</v>
      </c>
      <c r="C218" s="91" t="s">
        <v>110</v>
      </c>
      <c r="D218" s="91">
        <v>4.9000000000000004</v>
      </c>
      <c r="E218" s="91" t="s">
        <v>362</v>
      </c>
      <c r="F218" s="91" t="s">
        <v>20</v>
      </c>
      <c r="G218" s="91">
        <v>5</v>
      </c>
      <c r="H218" s="91"/>
      <c r="I218" s="12">
        <v>0</v>
      </c>
      <c r="J218" s="13">
        <v>1</v>
      </c>
      <c r="K218" s="13"/>
      <c r="L218" s="14">
        <f>LOG(I218+([3]Values!$D$8*J218)+([3]Values!$D$9*K218)+(M218*[3]Values!D$10)+(N218*[3]Values!$D$11)+1)</f>
        <v>9.8658390713159613E-2</v>
      </c>
      <c r="M218" s="116"/>
      <c r="N218" s="93"/>
      <c r="O218" s="106" t="s">
        <v>23</v>
      </c>
    </row>
    <row r="219" spans="1:15" ht="12.3">
      <c r="A219" s="19">
        <v>43337</v>
      </c>
      <c r="B219" s="20" t="s">
        <v>17</v>
      </c>
      <c r="C219" s="20" t="s">
        <v>303</v>
      </c>
      <c r="D219" s="105">
        <v>6</v>
      </c>
      <c r="E219" s="118" t="str">
        <f>HYPERLINK("https://earthquake-report.com/2018/08/25/very-strong-earthquake-western-iran-august-25-2018/","Earthquake")</f>
        <v>Earthquake</v>
      </c>
      <c r="F219" s="20" t="s">
        <v>206</v>
      </c>
      <c r="G219" s="20"/>
      <c r="H219" s="20"/>
      <c r="I219" s="12">
        <v>2</v>
      </c>
      <c r="J219" s="21">
        <v>310</v>
      </c>
      <c r="K219" s="21"/>
      <c r="L219" s="22">
        <f>LOG(I219+([3]Values!$D$8*J219)+([3]Values!$D$9*K219)+(M219*[3]Values!D$10)+(N219*[3]Values!$D$11)+1)</f>
        <v>2.1657721035430408</v>
      </c>
      <c r="M219" s="108">
        <v>5200</v>
      </c>
      <c r="N219" s="102">
        <v>500</v>
      </c>
      <c r="O219" s="103" t="s">
        <v>23</v>
      </c>
    </row>
    <row r="220" spans="1:15" ht="12.6">
      <c r="A220" s="115">
        <v>43340</v>
      </c>
      <c r="B220" s="90" t="s">
        <v>44</v>
      </c>
      <c r="C220" s="91" t="s">
        <v>1253</v>
      </c>
      <c r="D220" s="91">
        <v>6.2</v>
      </c>
      <c r="E220" s="91" t="s">
        <v>362</v>
      </c>
      <c r="F220" s="91" t="s">
        <v>20</v>
      </c>
      <c r="G220" s="91"/>
      <c r="H220" s="91"/>
      <c r="I220" s="12">
        <v>0</v>
      </c>
      <c r="J220" s="13">
        <v>0</v>
      </c>
      <c r="K220" s="13">
        <v>0</v>
      </c>
      <c r="L220" s="14">
        <f>LOG(I220+([3]Values!$D$8*J220)+([3]Values!$D$9*K220)+(M220*[3]Values!D$10)+(N220*[3]Values!$D$11)+1)</f>
        <v>4.0400731096553195E-3</v>
      </c>
      <c r="M220" s="116">
        <v>1</v>
      </c>
      <c r="N220" s="116">
        <v>0</v>
      </c>
      <c r="O220" s="106" t="s">
        <v>23</v>
      </c>
    </row>
    <row r="221" spans="1:15" ht="12.6">
      <c r="A221" s="115">
        <v>43340</v>
      </c>
      <c r="B221" s="90" t="s">
        <v>419</v>
      </c>
      <c r="C221" s="91" t="s">
        <v>1254</v>
      </c>
      <c r="D221" s="91">
        <v>5.0999999999999996</v>
      </c>
      <c r="E221" s="91" t="s">
        <v>362</v>
      </c>
      <c r="F221" s="91" t="s">
        <v>20</v>
      </c>
      <c r="G221" s="91">
        <v>15</v>
      </c>
      <c r="H221" s="91"/>
      <c r="I221" s="12">
        <v>0</v>
      </c>
      <c r="J221" s="13">
        <v>0</v>
      </c>
      <c r="K221" s="13">
        <v>25</v>
      </c>
      <c r="L221" s="14">
        <f>LOG(I221+([3]Values!$D$8*J221)+([3]Values!$D$9*K221)+(M221*[3]Values!D$10)+(N221*[3]Values!$D$11)+1)</f>
        <v>0.4375202102807153</v>
      </c>
      <c r="M221" s="116">
        <v>120</v>
      </c>
      <c r="N221" s="116">
        <v>5</v>
      </c>
      <c r="O221" s="106" t="s">
        <v>23</v>
      </c>
    </row>
    <row r="222" spans="1:15" ht="12.6">
      <c r="A222" s="115">
        <v>43340</v>
      </c>
      <c r="B222" s="90" t="s">
        <v>24</v>
      </c>
      <c r="C222" s="91" t="s">
        <v>627</v>
      </c>
      <c r="D222" s="104">
        <v>5</v>
      </c>
      <c r="E222" s="91" t="s">
        <v>362</v>
      </c>
      <c r="F222" s="91" t="s">
        <v>20</v>
      </c>
      <c r="G222" s="91"/>
      <c r="H222" s="91"/>
      <c r="I222" s="12">
        <v>0</v>
      </c>
      <c r="J222" s="13">
        <v>0</v>
      </c>
      <c r="K222" s="13">
        <v>4</v>
      </c>
      <c r="L222" s="14">
        <f>LOG(I222+([3]Values!$D$8*J222)+([3]Values!$D$9*K222)+(M222*[3]Values!D$10)+(N222*[3]Values!$D$11)+1)</f>
        <v>6.1369645186658495E-2</v>
      </c>
      <c r="M222" s="116">
        <v>5</v>
      </c>
      <c r="N222" s="116">
        <v>1</v>
      </c>
      <c r="O222" s="106" t="s">
        <v>23</v>
      </c>
    </row>
    <row r="223" spans="1:15" ht="12.6">
      <c r="A223" s="115">
        <v>43341</v>
      </c>
      <c r="B223" s="90" t="s">
        <v>512</v>
      </c>
      <c r="C223" s="91" t="s">
        <v>1255</v>
      </c>
      <c r="D223" s="90">
        <v>7.1</v>
      </c>
      <c r="E223" s="91" t="s">
        <v>362</v>
      </c>
      <c r="F223" s="91" t="s">
        <v>20</v>
      </c>
      <c r="G223" s="91">
        <v>27</v>
      </c>
      <c r="H223" s="91"/>
      <c r="I223" s="12">
        <v>0</v>
      </c>
      <c r="J223" s="13">
        <v>0</v>
      </c>
      <c r="K223" s="13">
        <v>0</v>
      </c>
      <c r="L223" s="14">
        <f>LOG(I223+([3]Values!$D$8*J223)+([3]Values!$D$9*K223)+(M223*[3]Values!D$10)+(N223*[3]Values!$D$11)+1)</f>
        <v>0</v>
      </c>
      <c r="M223" s="116">
        <v>0</v>
      </c>
      <c r="N223" s="93">
        <v>0</v>
      </c>
      <c r="O223" s="106" t="s">
        <v>1256</v>
      </c>
    </row>
    <row r="224" spans="1:15" ht="12.6">
      <c r="A224" s="115">
        <v>43343</v>
      </c>
      <c r="B224" s="90" t="s">
        <v>156</v>
      </c>
      <c r="C224" s="91" t="s">
        <v>541</v>
      </c>
      <c r="D224" s="91">
        <v>5.0999999999999996</v>
      </c>
      <c r="E224" s="113" t="str">
        <f>HYPERLINK("https://earthquake-report.com/2018/08/31/strong-earthquake-greece-august-31-2018/","Earthquake")</f>
        <v>Earthquake</v>
      </c>
      <c r="F224" s="91" t="s">
        <v>20</v>
      </c>
      <c r="G224" s="91"/>
      <c r="H224" s="91"/>
      <c r="I224" s="12">
        <v>0</v>
      </c>
      <c r="J224" s="13">
        <v>0</v>
      </c>
      <c r="K224" s="13">
        <v>0</v>
      </c>
      <c r="L224" s="14">
        <f>LOG(I224+([3]Values!$D$8*J224)+([3]Values!$D$9*K224)+(M224*[3]Values!D$10)+(N224*[3]Values!$D$11)+1)</f>
        <v>0.16651915281865207</v>
      </c>
      <c r="M224" s="116">
        <v>50</v>
      </c>
      <c r="N224" s="93">
        <v>0</v>
      </c>
      <c r="O224" s="106" t="s">
        <v>23</v>
      </c>
    </row>
    <row r="225" spans="1:15" ht="12.6">
      <c r="A225" s="115">
        <v>43343</v>
      </c>
      <c r="B225" s="90" t="s">
        <v>17</v>
      </c>
      <c r="C225" s="91" t="s">
        <v>303</v>
      </c>
      <c r="D225" s="91">
        <v>4.9000000000000004</v>
      </c>
      <c r="E225" s="91" t="s">
        <v>362</v>
      </c>
      <c r="F225" s="91" t="s">
        <v>206</v>
      </c>
      <c r="G225" s="91"/>
      <c r="H225" s="91"/>
      <c r="I225" s="12">
        <v>0</v>
      </c>
      <c r="J225" s="13">
        <v>0</v>
      </c>
      <c r="K225" s="13"/>
      <c r="L225" s="14">
        <f>LOG(I225+([3]Values!$D$8*J225)+([3]Values!$D$9*K225)+(M225*[3]Values!D$10)+(N225*[3]Values!$D$11)+1)</f>
        <v>0.17702540777332471</v>
      </c>
      <c r="M225" s="116">
        <v>20</v>
      </c>
      <c r="N225" s="116">
        <v>10</v>
      </c>
      <c r="O225" s="106" t="s">
        <v>23</v>
      </c>
    </row>
    <row r="226" spans="1:15" ht="12.3">
      <c r="A226" s="128">
        <v>43313</v>
      </c>
      <c r="B226" s="20" t="s">
        <v>44</v>
      </c>
      <c r="C226" s="20" t="s">
        <v>176</v>
      </c>
      <c r="D226" s="129">
        <v>43318</v>
      </c>
      <c r="E226" s="20" t="s">
        <v>107</v>
      </c>
      <c r="F226" s="20" t="s">
        <v>20</v>
      </c>
      <c r="G226" s="20"/>
      <c r="H226" s="20"/>
      <c r="I226" s="12">
        <v>564</v>
      </c>
      <c r="J226" s="21">
        <v>7773</v>
      </c>
      <c r="K226" s="21">
        <v>445343</v>
      </c>
      <c r="L226" s="22">
        <f>LOG(I226+([3]Values!$D$8*J226)+([3]Values!$D$9*K226)+(M226*[3]Values!D$10)+(N226*[3]Values!$D$11)+1)</f>
        <v>4.1103722604398554</v>
      </c>
      <c r="M226" s="102">
        <f>167961-N226+3415</f>
        <v>145788</v>
      </c>
      <c r="N226" s="102">
        <v>25588</v>
      </c>
      <c r="O226" s="103" t="s">
        <v>23</v>
      </c>
    </row>
    <row r="227" spans="1:15" ht="12.3">
      <c r="A227" s="115">
        <v>43346</v>
      </c>
      <c r="B227" s="90" t="s">
        <v>83</v>
      </c>
      <c r="C227" s="91" t="s">
        <v>84</v>
      </c>
      <c r="D227" s="91">
        <v>4.7</v>
      </c>
      <c r="E227" s="91" t="s">
        <v>362</v>
      </c>
      <c r="F227" s="91" t="s">
        <v>20</v>
      </c>
      <c r="G227" s="91">
        <v>8</v>
      </c>
      <c r="H227" s="91"/>
      <c r="I227" s="12">
        <v>0</v>
      </c>
      <c r="J227" s="13">
        <v>0</v>
      </c>
      <c r="K227" s="13">
        <v>0</v>
      </c>
      <c r="L227" s="14">
        <f>LOG(I227+([3]Values!$D$8*J227)+([3]Values!$D$9*K227)+(M227*[3]Values!D$10)+(N227*[3]Values!$D$11)+1)</f>
        <v>3.1314778720401552E-2</v>
      </c>
      <c r="M227" s="93">
        <v>8</v>
      </c>
      <c r="N227" s="93">
        <v>0</v>
      </c>
      <c r="O227" s="106" t="s">
        <v>23</v>
      </c>
    </row>
    <row r="228" spans="1:15" ht="12.3">
      <c r="A228" s="115">
        <v>43347</v>
      </c>
      <c r="B228" s="90" t="s">
        <v>172</v>
      </c>
      <c r="C228" s="91" t="s">
        <v>1257</v>
      </c>
      <c r="D228" s="91">
        <v>5.4</v>
      </c>
      <c r="E228" s="91" t="s">
        <v>362</v>
      </c>
      <c r="F228" s="91" t="s">
        <v>20</v>
      </c>
      <c r="G228" s="91"/>
      <c r="H228" s="91"/>
      <c r="I228" s="12">
        <v>0</v>
      </c>
      <c r="J228" s="13">
        <v>0</v>
      </c>
      <c r="K228" s="13">
        <v>0</v>
      </c>
      <c r="L228" s="14">
        <f>LOG(I228+([3]Values!$D$8*J228)+([3]Values!$D$9*K228)+(M228*[3]Values!D$10)+(N228*[3]Values!$D$11)+1)</f>
        <v>0.70301823572569877</v>
      </c>
      <c r="M228" s="93">
        <v>433</v>
      </c>
      <c r="N228" s="93">
        <v>0</v>
      </c>
      <c r="O228" s="106" t="s">
        <v>23</v>
      </c>
    </row>
    <row r="229" spans="1:15" ht="12.3">
      <c r="A229" s="19">
        <v>43348</v>
      </c>
      <c r="B229" s="20" t="s">
        <v>258</v>
      </c>
      <c r="C229" s="20" t="s">
        <v>453</v>
      </c>
      <c r="D229" s="20">
        <v>6.7</v>
      </c>
      <c r="E229" s="118" t="str">
        <f>HYPERLINK("https://earthquake-report.com/2018/09/05/very-strong-earthquake-hokkaido-japan-region-september-5-2018/","Earthquake")</f>
        <v>Earthquake</v>
      </c>
      <c r="F229" s="20" t="s">
        <v>20</v>
      </c>
      <c r="G229" s="20">
        <v>37</v>
      </c>
      <c r="H229" s="35" t="s">
        <v>1258</v>
      </c>
      <c r="I229" s="12">
        <v>42</v>
      </c>
      <c r="J229" s="21">
        <v>731</v>
      </c>
      <c r="K229" s="21">
        <v>965</v>
      </c>
      <c r="L229" s="22">
        <f>LOG(I229+([3]Values!$D$8*J229)+([3]Values!$D$9*K229)+(M229*[3]Values!D$10)+(N229*[3]Values!$D$11)+1)</f>
        <v>2.6549997828984333</v>
      </c>
      <c r="M229" s="102">
        <v>15026</v>
      </c>
      <c r="N229" s="102">
        <v>2032</v>
      </c>
      <c r="O229" s="106" t="s">
        <v>23</v>
      </c>
    </row>
    <row r="230" spans="1:15" ht="12.3">
      <c r="A230" s="109">
        <v>43350</v>
      </c>
      <c r="B230" s="90" t="s">
        <v>29</v>
      </c>
      <c r="C230" s="90" t="s">
        <v>1259</v>
      </c>
      <c r="D230" s="90">
        <v>6.2</v>
      </c>
      <c r="E230" s="110" t="str">
        <f>HYPERLINK("https://earthquake-report.com/2018/09/07/very-strong-earthquake-ecuador-september-7-2018/","Earthquake")</f>
        <v>Earthquake</v>
      </c>
      <c r="F230" s="90" t="s">
        <v>20</v>
      </c>
      <c r="G230" s="90">
        <v>94</v>
      </c>
      <c r="H230" s="90"/>
      <c r="I230" s="12">
        <v>0</v>
      </c>
      <c r="J230" s="13">
        <v>4</v>
      </c>
      <c r="K230" s="13">
        <v>1524</v>
      </c>
      <c r="L230" s="14">
        <f>LOG(I230+([3]Values!$D$8*J230)+([3]Values!$D$9*K230)+(M230*[3]Values!D$10)+(N230*[3]Values!$D$11)+1)</f>
        <v>1.6691100652511328</v>
      </c>
      <c r="M230" s="117">
        <v>489</v>
      </c>
      <c r="N230" s="97">
        <v>383</v>
      </c>
      <c r="O230" s="114" t="s">
        <v>23</v>
      </c>
    </row>
    <row r="231" spans="1:15" ht="12.3">
      <c r="A231" s="19">
        <v>43350</v>
      </c>
      <c r="B231" s="20" t="s">
        <v>17</v>
      </c>
      <c r="C231" s="20" t="s">
        <v>1260</v>
      </c>
      <c r="D231" s="20">
        <v>5.6</v>
      </c>
      <c r="E231" s="118" t="str">
        <f>HYPERLINK("https://earthquake-report.com/2018/09/07/strong-earthquake-southeastern-iran-september-7-2018/","Earthquake")</f>
        <v>Earthquake</v>
      </c>
      <c r="F231" s="20" t="s">
        <v>20</v>
      </c>
      <c r="G231" s="20">
        <v>10</v>
      </c>
      <c r="H231" s="20"/>
      <c r="I231" s="12">
        <v>1</v>
      </c>
      <c r="J231" s="21">
        <v>10</v>
      </c>
      <c r="K231" s="21">
        <v>500</v>
      </c>
      <c r="L231" s="22">
        <f>LOG(I231+([3]Values!$D$8*J231)+([3]Values!$D$9*K231)+(M231*[3]Values!D$10)+(N231*[3]Values!$D$11)+1)</f>
        <v>1.2183158327026857</v>
      </c>
      <c r="M231" s="108">
        <v>300</v>
      </c>
      <c r="N231" s="102"/>
      <c r="O231" s="103" t="s">
        <v>23</v>
      </c>
    </row>
    <row r="232" spans="1:15" ht="12.3">
      <c r="A232" s="109">
        <v>43351</v>
      </c>
      <c r="B232" s="90" t="s">
        <v>83</v>
      </c>
      <c r="C232" s="90" t="s">
        <v>323</v>
      </c>
      <c r="D232" s="90">
        <v>5.9</v>
      </c>
      <c r="E232" s="110" t="str">
        <f>HYPERLINK("https://earthquake-report.com/2018/09/08/moderate-earthquake-yunnan-china-september-8-2018/","Earthquake")</f>
        <v>Earthquake</v>
      </c>
      <c r="F232" s="90" t="s">
        <v>20</v>
      </c>
      <c r="G232" s="90">
        <v>11</v>
      </c>
      <c r="H232" s="90" t="s">
        <v>363</v>
      </c>
      <c r="I232" s="12">
        <v>0</v>
      </c>
      <c r="J232" s="13">
        <v>27</v>
      </c>
      <c r="K232" s="13">
        <v>15840</v>
      </c>
      <c r="L232" s="14">
        <f>LOG(I232+([3]Values!$D$8*J232)+([3]Values!$D$9*K232)+(M232*[3]Values!D$10)+(N232*[3]Values!$D$11)+1)</f>
        <v>2.7117177036289322</v>
      </c>
      <c r="M232" s="97">
        <v>5893</v>
      </c>
      <c r="N232" s="97">
        <v>5096</v>
      </c>
      <c r="O232" s="114" t="s">
        <v>23</v>
      </c>
    </row>
    <row r="233" spans="1:15" ht="12.3">
      <c r="A233" s="115">
        <v>43351</v>
      </c>
      <c r="B233" s="90" t="s">
        <v>62</v>
      </c>
      <c r="C233" s="91" t="s">
        <v>1261</v>
      </c>
      <c r="D233" s="91">
        <v>6.1</v>
      </c>
      <c r="E233" s="113" t="str">
        <f>HYPERLINK("https://earthquake-report.com/2018/09/08/very-strong-earthquake-mindanao-philippines-september-8-2018/","Earthquake")</f>
        <v>Earthquake</v>
      </c>
      <c r="F233" s="91" t="s">
        <v>20</v>
      </c>
      <c r="G233" s="91">
        <v>14</v>
      </c>
      <c r="H233" s="91" t="s">
        <v>123</v>
      </c>
      <c r="I233" s="12"/>
      <c r="J233" s="13"/>
      <c r="K233" s="13"/>
      <c r="L233" s="14">
        <f>LOG(I233+([3]Values!$D$8*J233)+([3]Values!$D$9*K233)+(M233*[3]Values!D$10)+(N233*[3]Values!$D$11)+1)</f>
        <v>0.13013925737086895</v>
      </c>
      <c r="M233" s="93">
        <v>34</v>
      </c>
      <c r="N233" s="93">
        <v>1</v>
      </c>
      <c r="O233" s="114" t="s">
        <v>23</v>
      </c>
    </row>
    <row r="234" spans="1:15" ht="12.3">
      <c r="A234" s="19">
        <v>43355</v>
      </c>
      <c r="B234" s="20" t="s">
        <v>24</v>
      </c>
      <c r="C234" s="20" t="s">
        <v>1193</v>
      </c>
      <c r="D234" s="20">
        <v>5.3</v>
      </c>
      <c r="E234" s="20" t="s">
        <v>362</v>
      </c>
      <c r="F234" s="20" t="s">
        <v>20</v>
      </c>
      <c r="G234" s="20"/>
      <c r="H234" s="20"/>
      <c r="I234" s="12">
        <v>1</v>
      </c>
      <c r="J234" s="21"/>
      <c r="K234" s="21"/>
      <c r="L234" s="22">
        <f>LOG(I234+([3]Values!$D$8*J234)+([3]Values!$D$9*K234)+(M234*[3]Values!D$10)+(N234*[3]Values!$D$11)+1)</f>
        <v>0.46754914848263324</v>
      </c>
      <c r="M234" s="108">
        <v>100</v>
      </c>
      <c r="N234" s="102"/>
      <c r="O234" s="103" t="s">
        <v>23</v>
      </c>
    </row>
    <row r="235" spans="1:15" ht="12.3">
      <c r="A235" s="115"/>
      <c r="B235" s="90"/>
      <c r="C235" s="91"/>
      <c r="D235" s="91">
        <v>5.3</v>
      </c>
      <c r="E235" s="91"/>
      <c r="F235" s="91"/>
      <c r="G235" s="91"/>
      <c r="H235" s="91"/>
      <c r="I235" s="12">
        <v>0</v>
      </c>
      <c r="J235" s="13">
        <v>25</v>
      </c>
      <c r="K235" s="13">
        <v>0</v>
      </c>
      <c r="L235" s="14">
        <f>LOG(I235+([3]Values!$D$8*J235)+([3]Values!$D$9*K235)+(M235*[3]Values!D$10)+(N235*[3]Values!$D$11)+1)</f>
        <v>0.86782440917052373</v>
      </c>
      <c r="M235" s="117">
        <v>0</v>
      </c>
      <c r="N235" s="97">
        <v>0</v>
      </c>
      <c r="O235" s="114" t="s">
        <v>23</v>
      </c>
    </row>
    <row r="236" spans="1:15" ht="12.3">
      <c r="A236" s="115"/>
      <c r="B236" s="90"/>
      <c r="C236" s="91"/>
      <c r="D236" s="91">
        <v>5.3</v>
      </c>
      <c r="E236" s="91"/>
      <c r="F236" s="91"/>
      <c r="G236" s="91"/>
      <c r="H236" s="91"/>
      <c r="I236" s="12">
        <v>0</v>
      </c>
      <c r="J236" s="13">
        <v>0</v>
      </c>
      <c r="K236" s="13">
        <v>0</v>
      </c>
      <c r="L236" s="14">
        <f>LOG(I236+([3]Values!$D$8*J236)+([3]Values!$D$9*K236)+(M236*[3]Values!D$10)+(N236*[3]Values!$D$11)+1)</f>
        <v>1.9834704505085086E-2</v>
      </c>
      <c r="M236" s="117">
        <v>5</v>
      </c>
      <c r="N236" s="97">
        <v>0</v>
      </c>
      <c r="O236" s="114" t="s">
        <v>23</v>
      </c>
    </row>
    <row r="237" spans="1:15" ht="12.3">
      <c r="A237" s="115">
        <v>43355</v>
      </c>
      <c r="B237" s="90" t="s">
        <v>24</v>
      </c>
      <c r="C237" s="91" t="s">
        <v>212</v>
      </c>
      <c r="D237" s="91"/>
      <c r="E237" s="91" t="s">
        <v>362</v>
      </c>
      <c r="F237" s="91"/>
      <c r="G237" s="91"/>
      <c r="H237" s="91"/>
      <c r="I237" s="12">
        <v>0</v>
      </c>
      <c r="J237" s="13">
        <v>1</v>
      </c>
      <c r="K237" s="13">
        <v>0</v>
      </c>
      <c r="L237" s="14">
        <f>LOG(I237+([3]Values!$D$8*J237)+([3]Values!$D$9*K237)+(M237*[3]Values!D$10)+(N237*[3]Values!$D$11)+1)</f>
        <v>0.29549795976264187</v>
      </c>
      <c r="M237" s="97">
        <v>77</v>
      </c>
      <c r="N237" s="97">
        <v>0</v>
      </c>
      <c r="O237" s="114" t="s">
        <v>23</v>
      </c>
    </row>
    <row r="238" spans="1:15" ht="12.3">
      <c r="A238" s="115">
        <v>43355</v>
      </c>
      <c r="B238" s="90" t="s">
        <v>83</v>
      </c>
      <c r="C238" s="91" t="s">
        <v>1264</v>
      </c>
      <c r="D238" s="91">
        <v>5.3</v>
      </c>
      <c r="E238" s="91" t="s">
        <v>362</v>
      </c>
      <c r="F238" s="91" t="s">
        <v>20</v>
      </c>
      <c r="G238" s="91">
        <v>11</v>
      </c>
      <c r="H238" s="91" t="s">
        <v>35</v>
      </c>
      <c r="I238" s="12">
        <v>0</v>
      </c>
      <c r="J238" s="13">
        <v>3</v>
      </c>
      <c r="K238" s="13">
        <v>14</v>
      </c>
      <c r="L238" s="14">
        <f>LOG(I238+([3]Values!$D$8*J238)+([3]Values!$D$9*K238)+(M238*[3]Values!D$10)+(N238*[3]Values!$D$11)+1)</f>
        <v>0.82594306362825576</v>
      </c>
      <c r="M238" s="117">
        <v>480</v>
      </c>
      <c r="N238" s="97">
        <v>6</v>
      </c>
      <c r="O238" s="114" t="s">
        <v>23</v>
      </c>
    </row>
    <row r="239" spans="1:15" ht="12.3">
      <c r="A239" s="115">
        <v>43357</v>
      </c>
      <c r="B239" s="90" t="s">
        <v>72</v>
      </c>
      <c r="C239" s="91" t="s">
        <v>223</v>
      </c>
      <c r="D239" s="91">
        <v>4.5</v>
      </c>
      <c r="E239" s="91" t="s">
        <v>362</v>
      </c>
      <c r="F239" s="91" t="s">
        <v>20</v>
      </c>
      <c r="G239" s="91">
        <v>20</v>
      </c>
      <c r="H239" s="91"/>
      <c r="I239" s="12">
        <v>0</v>
      </c>
      <c r="J239" s="13">
        <v>0</v>
      </c>
      <c r="K239" s="13">
        <v>0</v>
      </c>
      <c r="L239" s="14">
        <f>LOG(I239+([3]Values!$D$8*J239)+([3]Values!$D$9*K239)+(M239*[3]Values!D$10)+(N239*[3]Values!$D$11)+1)</f>
        <v>4.0400731096553195E-3</v>
      </c>
      <c r="M239" s="117">
        <v>1</v>
      </c>
      <c r="N239" s="97">
        <v>0</v>
      </c>
      <c r="O239" s="114" t="s">
        <v>23</v>
      </c>
    </row>
    <row r="240" spans="1:15" ht="12.3">
      <c r="A240" s="115">
        <v>43359</v>
      </c>
      <c r="B240" s="90" t="s">
        <v>661</v>
      </c>
      <c r="C240" s="91" t="s">
        <v>703</v>
      </c>
      <c r="D240" s="95">
        <v>5.7</v>
      </c>
      <c r="E240" s="91" t="s">
        <v>362</v>
      </c>
      <c r="F240" s="91" t="s">
        <v>20</v>
      </c>
      <c r="G240" s="91"/>
      <c r="H240" s="91"/>
      <c r="I240" s="12">
        <v>0</v>
      </c>
      <c r="J240" s="13">
        <v>0</v>
      </c>
      <c r="K240" s="13">
        <v>0</v>
      </c>
      <c r="L240" s="14">
        <f>LOG(I240+([3]Values!$D$8*J240)+([3]Values!$D$9*K240)+(M240*[3]Values!D$10)+(N240*[3]Values!$D$11)+1)</f>
        <v>4.0400731096553195E-3</v>
      </c>
      <c r="M240" s="117">
        <v>1</v>
      </c>
      <c r="N240" s="97">
        <v>0</v>
      </c>
      <c r="O240" s="114" t="s">
        <v>23</v>
      </c>
    </row>
    <row r="241" spans="1:15" ht="12.3">
      <c r="A241" s="115">
        <v>43360</v>
      </c>
      <c r="B241" s="90" t="s">
        <v>67</v>
      </c>
      <c r="C241" s="91" t="s">
        <v>68</v>
      </c>
      <c r="D241" s="95">
        <v>3</v>
      </c>
      <c r="E241" s="91" t="s">
        <v>362</v>
      </c>
      <c r="F241" s="91" t="s">
        <v>69</v>
      </c>
      <c r="G241" s="91">
        <v>1</v>
      </c>
      <c r="H241" s="91"/>
      <c r="I241" s="12">
        <v>0</v>
      </c>
      <c r="J241" s="13">
        <v>1</v>
      </c>
      <c r="K241" s="13">
        <v>0</v>
      </c>
      <c r="L241" s="14">
        <f>LOG(I241+([3]Values!$D$8*J241)+([3]Values!$D$9*K241)+(M241*[3]Values!D$10)+(N241*[3]Values!$D$11)+1)</f>
        <v>9.8658390713159613E-2</v>
      </c>
      <c r="M241" s="117"/>
      <c r="N241" s="97"/>
      <c r="O241" s="114" t="s">
        <v>23</v>
      </c>
    </row>
    <row r="242" spans="1:15" ht="12.3">
      <c r="A242" s="115">
        <v>43362</v>
      </c>
      <c r="B242" s="90" t="s">
        <v>24</v>
      </c>
      <c r="C242" s="91" t="s">
        <v>126</v>
      </c>
      <c r="D242" s="91"/>
      <c r="E242" s="91" t="s">
        <v>362</v>
      </c>
      <c r="F242" s="91" t="s">
        <v>20</v>
      </c>
      <c r="G242" s="91"/>
      <c r="H242" s="91"/>
      <c r="I242" s="12">
        <v>0</v>
      </c>
      <c r="J242" s="13">
        <v>0</v>
      </c>
      <c r="K242" s="13">
        <v>0</v>
      </c>
      <c r="L242" s="14">
        <f>LOG(I242+([3]Values!$D$8*J242)+([3]Values!$D$9*K242)+(M242*[3]Values!D$10)+(N242*[3]Values!$D$11)+1)</f>
        <v>4.616422168147357E-2</v>
      </c>
      <c r="M242" s="117">
        <v>12</v>
      </c>
      <c r="N242" s="97">
        <v>0</v>
      </c>
      <c r="O242" s="114" t="s">
        <v>23</v>
      </c>
    </row>
    <row r="243" spans="1:15" ht="12.3">
      <c r="A243" s="115">
        <v>43366</v>
      </c>
      <c r="B243" s="90" t="s">
        <v>414</v>
      </c>
      <c r="C243" s="91" t="s">
        <v>1265</v>
      </c>
      <c r="D243" s="91">
        <v>5.0999999999999996</v>
      </c>
      <c r="E243" s="91" t="s">
        <v>362</v>
      </c>
      <c r="F243" s="91" t="s">
        <v>20</v>
      </c>
      <c r="G243" s="91">
        <v>14</v>
      </c>
      <c r="H243" s="91"/>
      <c r="I243" s="12">
        <v>0</v>
      </c>
      <c r="J243" s="13">
        <v>0</v>
      </c>
      <c r="K243" s="13">
        <v>0</v>
      </c>
      <c r="L243" s="14">
        <f>LOG(I243+([3]Values!$D$8*J243)+([3]Values!$D$9*K243)+(M243*[3]Values!D$10)+(N243*[3]Values!$D$11)+1)</f>
        <v>7.4421564252915698E-2</v>
      </c>
      <c r="M243" s="117">
        <v>20</v>
      </c>
      <c r="N243" s="97">
        <v>0</v>
      </c>
      <c r="O243" s="114" t="s">
        <v>23</v>
      </c>
    </row>
    <row r="244" spans="1:15" ht="12.3">
      <c r="A244" s="19">
        <v>43371</v>
      </c>
      <c r="B244" s="20" t="s">
        <v>44</v>
      </c>
      <c r="C244" s="20" t="s">
        <v>528</v>
      </c>
      <c r="D244" s="105">
        <v>6</v>
      </c>
      <c r="E244" s="20" t="s">
        <v>362</v>
      </c>
      <c r="F244" s="20" t="s">
        <v>20</v>
      </c>
      <c r="G244" s="20">
        <v>12</v>
      </c>
      <c r="H244" s="20" t="s">
        <v>123</v>
      </c>
      <c r="I244" s="12">
        <v>1</v>
      </c>
      <c r="J244" s="21">
        <v>10</v>
      </c>
      <c r="K244" s="21"/>
      <c r="L244" s="22">
        <f>LOG(I244+([3]Values!$D$8*J244)+([3]Values!$D$9*K244)+(M244*[3]Values!D$10)+(N244*[3]Values!$D$11)+1)</f>
        <v>0.70323595164392705</v>
      </c>
      <c r="M244" s="108">
        <v>50</v>
      </c>
      <c r="N244" s="102">
        <v>1</v>
      </c>
      <c r="O244" s="103" t="s">
        <v>23</v>
      </c>
    </row>
    <row r="245" spans="1:15" ht="12.3">
      <c r="A245" s="19">
        <v>43371</v>
      </c>
      <c r="B245" s="20" t="s">
        <v>44</v>
      </c>
      <c r="C245" s="20" t="s">
        <v>528</v>
      </c>
      <c r="D245" s="20">
        <v>7.4</v>
      </c>
      <c r="E245" s="20" t="s">
        <v>362</v>
      </c>
      <c r="F245" s="20" t="s">
        <v>20</v>
      </c>
      <c r="G245" s="20">
        <v>12</v>
      </c>
      <c r="H245" s="20" t="s">
        <v>123</v>
      </c>
      <c r="I245" s="12">
        <v>4340</v>
      </c>
      <c r="J245" s="21">
        <v>14254</v>
      </c>
      <c r="K245" s="21">
        <v>222986</v>
      </c>
      <c r="L245" s="22">
        <f>LOG(I245+([3]Values!$D$8*J245)+([3]Values!$D$9*K245)+(M245*[3]Values!D$10)+(N245*[3]Values!$D$11)+1)</f>
        <v>4.1377075396154961</v>
      </c>
      <c r="M245" s="102">
        <f>17293+12717+10612+6480+7989+6099+4191+826</f>
        <v>66207</v>
      </c>
      <c r="N245" s="102">
        <f>9181+3673+12302+7290+533</f>
        <v>32979</v>
      </c>
      <c r="O245" s="103" t="s">
        <v>1266</v>
      </c>
    </row>
    <row r="246" spans="1:15" ht="12.3">
      <c r="A246" s="115">
        <v>43371</v>
      </c>
      <c r="B246" s="90" t="s">
        <v>512</v>
      </c>
      <c r="C246" s="91" t="s">
        <v>1267</v>
      </c>
      <c r="D246" s="91">
        <v>5.4</v>
      </c>
      <c r="E246" s="91" t="s">
        <v>362</v>
      </c>
      <c r="F246" s="91" t="s">
        <v>20</v>
      </c>
      <c r="G246" s="91"/>
      <c r="H246" s="91"/>
      <c r="I246" s="12">
        <v>0</v>
      </c>
      <c r="J246" s="13">
        <v>0</v>
      </c>
      <c r="K246" s="13">
        <v>0</v>
      </c>
      <c r="L246" s="14">
        <f>LOG(I246+([3]Values!$D$8*J246)+([3]Values!$D$9*K246)+(M246*[3]Values!D$10)+(N246*[3]Values!$D$11)+1)</f>
        <v>8.0429091224550799E-3</v>
      </c>
      <c r="M246" s="93">
        <v>2</v>
      </c>
      <c r="N246" s="93">
        <v>0</v>
      </c>
      <c r="O246" s="106" t="s">
        <v>23</v>
      </c>
    </row>
    <row r="247" spans="1:15" ht="12.3">
      <c r="A247" s="115">
        <v>43374</v>
      </c>
      <c r="B247" s="90" t="s">
        <v>726</v>
      </c>
      <c r="C247" s="91" t="s">
        <v>1005</v>
      </c>
      <c r="D247" s="91">
        <v>3.6</v>
      </c>
      <c r="E247" s="91" t="s">
        <v>362</v>
      </c>
      <c r="F247" s="91" t="s">
        <v>1268</v>
      </c>
      <c r="G247" s="91">
        <v>5</v>
      </c>
      <c r="H247" s="91" t="s">
        <v>684</v>
      </c>
      <c r="I247" s="12">
        <v>0</v>
      </c>
      <c r="J247" s="13">
        <v>0</v>
      </c>
      <c r="K247" s="13">
        <v>0</v>
      </c>
      <c r="L247" s="14">
        <f>LOG(I247+([3]Values!$D$8*J247)+([3]Values!$D$9*K247)+(M247*[3]Values!D$10)+(N247*[3]Values!$D$11)+1)</f>
        <v>0.10733904346300764</v>
      </c>
      <c r="M247" s="93">
        <v>30</v>
      </c>
      <c r="N247" s="93">
        <v>0</v>
      </c>
      <c r="O247" s="106" t="s">
        <v>23</v>
      </c>
    </row>
    <row r="248" spans="1:15" ht="12.3">
      <c r="A248" s="115">
        <v>43375</v>
      </c>
      <c r="B248" s="90" t="s">
        <v>44</v>
      </c>
      <c r="C248" s="91" t="s">
        <v>366</v>
      </c>
      <c r="D248" s="100">
        <v>6</v>
      </c>
      <c r="E248" s="91" t="s">
        <v>478</v>
      </c>
      <c r="F248" s="91" t="s">
        <v>20</v>
      </c>
      <c r="G248" s="91">
        <v>10</v>
      </c>
      <c r="H248" s="91"/>
      <c r="I248" s="12">
        <v>0</v>
      </c>
      <c r="J248" s="13">
        <v>10</v>
      </c>
      <c r="K248" s="13"/>
      <c r="L248" s="14">
        <f>LOG(I248+([3]Values!$D$8*J248)+([3]Values!$D$9*K248)+(M248*[3]Values!D$10)+(N248*[3]Values!$D$11)+1)</f>
        <v>0.58734422695949517</v>
      </c>
      <c r="M248" s="93"/>
      <c r="N248" s="93">
        <v>10</v>
      </c>
      <c r="O248" s="106" t="s">
        <v>23</v>
      </c>
    </row>
    <row r="249" spans="1:15" ht="12.3">
      <c r="A249" s="115">
        <v>43375</v>
      </c>
      <c r="B249" s="90" t="s">
        <v>72</v>
      </c>
      <c r="C249" s="91" t="s">
        <v>203</v>
      </c>
      <c r="D249" s="100">
        <v>3.9</v>
      </c>
      <c r="E249" s="91" t="s">
        <v>362</v>
      </c>
      <c r="F249" s="91" t="s">
        <v>20</v>
      </c>
      <c r="G249" s="91">
        <v>54</v>
      </c>
      <c r="H249" s="91"/>
      <c r="I249" s="12">
        <v>0</v>
      </c>
      <c r="J249" s="13">
        <v>0</v>
      </c>
      <c r="K249" s="13">
        <v>0</v>
      </c>
      <c r="L249" s="14">
        <f>LOG(I249+([3]Values!$D$8*J249)+([3]Values!$D$9*K249)+(M249*[3]Values!D$10)+(N249*[3]Values!$D$11)+1)</f>
        <v>4.0400731096553195E-3</v>
      </c>
      <c r="M249" s="93">
        <v>1</v>
      </c>
      <c r="N249" s="93">
        <v>0</v>
      </c>
      <c r="O249" s="106" t="s">
        <v>23</v>
      </c>
    </row>
    <row r="250" spans="1:15" ht="12.3">
      <c r="A250" s="115">
        <v>43375</v>
      </c>
      <c r="B250" s="90" t="s">
        <v>17</v>
      </c>
      <c r="C250" s="91"/>
      <c r="D250" s="91">
        <v>4.5999999999999996</v>
      </c>
      <c r="E250" s="91" t="s">
        <v>362</v>
      </c>
      <c r="F250" s="91" t="s">
        <v>20</v>
      </c>
      <c r="G250" s="91">
        <v>10</v>
      </c>
      <c r="H250" s="91"/>
      <c r="I250" s="12">
        <v>0</v>
      </c>
      <c r="J250" s="13">
        <v>2</v>
      </c>
      <c r="K250" s="13">
        <v>0</v>
      </c>
      <c r="L250" s="14">
        <f>LOG(I250+([3]Values!$D$8*J250)+([3]Values!$D$9*K250)+(M250*[3]Values!D$10)+(N250*[3]Values!$D$11)+1)</f>
        <v>0.21755631941270856</v>
      </c>
      <c r="M250" s="93">
        <v>15</v>
      </c>
      <c r="N250" s="93">
        <v>0</v>
      </c>
      <c r="O250" s="106" t="s">
        <v>23</v>
      </c>
    </row>
    <row r="251" spans="1:15" ht="12.3">
      <c r="A251" s="115">
        <v>43378</v>
      </c>
      <c r="B251" s="90" t="s">
        <v>72</v>
      </c>
      <c r="C251" s="91" t="s">
        <v>1269</v>
      </c>
      <c r="D251" s="91">
        <v>5.2</v>
      </c>
      <c r="E251" s="91" t="s">
        <v>362</v>
      </c>
      <c r="F251" s="91" t="s">
        <v>20</v>
      </c>
      <c r="G251" s="91">
        <v>13</v>
      </c>
      <c r="H251" s="91"/>
      <c r="I251" s="12">
        <v>0</v>
      </c>
      <c r="J251" s="13">
        <v>0</v>
      </c>
      <c r="K251" s="13">
        <v>0</v>
      </c>
      <c r="L251" s="14">
        <f>LOG(I251+([3]Values!$D$8*J251)+([3]Values!$D$9*K251)+(M251*[3]Values!D$10)+(N251*[3]Values!$D$11)+1)</f>
        <v>0.10733904346300764</v>
      </c>
      <c r="M251" s="93">
        <v>30</v>
      </c>
      <c r="N251" s="93">
        <v>0</v>
      </c>
      <c r="O251" s="106" t="s">
        <v>23</v>
      </c>
    </row>
    <row r="252" spans="1:15" ht="12.3">
      <c r="A252" s="109">
        <v>43379</v>
      </c>
      <c r="B252" s="90" t="s">
        <v>199</v>
      </c>
      <c r="C252" s="90" t="s">
        <v>1270</v>
      </c>
      <c r="D252" s="90">
        <v>4.8</v>
      </c>
      <c r="E252" s="90" t="s">
        <v>362</v>
      </c>
      <c r="F252" s="90" t="s">
        <v>1271</v>
      </c>
      <c r="G252" s="90">
        <v>9</v>
      </c>
      <c r="H252" s="90" t="s">
        <v>123</v>
      </c>
      <c r="I252" s="12">
        <v>0</v>
      </c>
      <c r="J252" s="18">
        <v>40</v>
      </c>
      <c r="K252" s="13">
        <v>0</v>
      </c>
      <c r="L252" s="14">
        <f>LOG(I252+([3]Values!$D$8*J252)+([3]Values!$D$9*K252)+(M252*[3]Values!D$10)+(N252*[3]Values!$D$11)+1)</f>
        <v>1.0840861863358493</v>
      </c>
      <c r="M252" s="117">
        <v>100</v>
      </c>
      <c r="N252" s="97"/>
      <c r="O252" s="114" t="s">
        <v>23</v>
      </c>
    </row>
    <row r="253" spans="1:15" ht="12.3">
      <c r="A253" s="19">
        <v>43380</v>
      </c>
      <c r="B253" s="20" t="s">
        <v>1272</v>
      </c>
      <c r="C253" s="20" t="s">
        <v>1273</v>
      </c>
      <c r="D253" s="20">
        <v>5.9</v>
      </c>
      <c r="E253" s="20" t="s">
        <v>362</v>
      </c>
      <c r="F253" s="20" t="s">
        <v>20</v>
      </c>
      <c r="G253" s="20">
        <v>12</v>
      </c>
      <c r="H253" s="20" t="s">
        <v>123</v>
      </c>
      <c r="I253" s="12">
        <v>18</v>
      </c>
      <c r="J253" s="21">
        <v>548</v>
      </c>
      <c r="K253" s="21">
        <v>55670</v>
      </c>
      <c r="L253" s="22">
        <f>LOG(I253+([3]Values!$D$8*J253)+([3]Values!$D$9*K253)+(M253*[3]Values!D$10)+(N253*[3]Values!$D$11)+1)</f>
        <v>3.1448744559207737</v>
      </c>
      <c r="M253" s="102">
        <v>15932</v>
      </c>
      <c r="N253" s="102">
        <v>2102</v>
      </c>
      <c r="O253" s="103" t="s">
        <v>23</v>
      </c>
    </row>
    <row r="254" spans="1:15" ht="12.3">
      <c r="A254" s="115"/>
      <c r="B254" s="90"/>
      <c r="C254" s="91"/>
      <c r="D254" s="20">
        <v>5.9</v>
      </c>
      <c r="E254" s="91"/>
      <c r="F254" s="91"/>
      <c r="G254" s="91"/>
      <c r="H254" s="91"/>
      <c r="I254" s="12">
        <v>0</v>
      </c>
      <c r="J254" s="13">
        <v>0</v>
      </c>
      <c r="K254" s="13">
        <v>0</v>
      </c>
      <c r="L254" s="14">
        <f>LOG(I254+([3]Values!$D$8*J254)+([3]Values!$D$9*K254)+(M254*[3]Values!D$10)+(N254*[3]Values!$D$11)+1)</f>
        <v>3.1314778720401552E-2</v>
      </c>
      <c r="M254" s="93">
        <v>8</v>
      </c>
      <c r="N254" s="93">
        <v>0</v>
      </c>
      <c r="O254" s="106" t="s">
        <v>23</v>
      </c>
    </row>
    <row r="255" spans="1:15" ht="12.3">
      <c r="A255" s="115"/>
      <c r="B255" s="90"/>
      <c r="C255" s="91"/>
      <c r="D255" s="20">
        <v>5.9</v>
      </c>
      <c r="E255" s="91"/>
      <c r="F255" s="91"/>
      <c r="G255" s="91"/>
      <c r="H255" s="91"/>
      <c r="I255" s="12">
        <v>0</v>
      </c>
      <c r="J255" s="13">
        <v>0</v>
      </c>
      <c r="K255" s="13">
        <v>0</v>
      </c>
      <c r="L255" s="14">
        <f>LOG(I255+([3]Values!$D$8*J255)+([3]Values!$D$9*K255)+(M255*[3]Values!D$10)+(N255*[3]Values!$D$11)+1)</f>
        <v>8.0429091224550799E-3</v>
      </c>
      <c r="M255" s="93">
        <v>2</v>
      </c>
      <c r="N255" s="93">
        <v>0</v>
      </c>
      <c r="O255" s="106" t="s">
        <v>23</v>
      </c>
    </row>
    <row r="256" spans="1:15" ht="12.3">
      <c r="A256" s="115">
        <v>43382</v>
      </c>
      <c r="B256" s="90" t="s">
        <v>652</v>
      </c>
      <c r="C256" s="91" t="s">
        <v>923</v>
      </c>
      <c r="D256" s="95">
        <v>4</v>
      </c>
      <c r="E256" s="91" t="s">
        <v>478</v>
      </c>
      <c r="F256" s="91" t="s">
        <v>20</v>
      </c>
      <c r="G256" s="91">
        <v>12</v>
      </c>
      <c r="H256" s="91" t="s">
        <v>684</v>
      </c>
      <c r="I256" s="12">
        <v>0</v>
      </c>
      <c r="J256" s="13">
        <v>0</v>
      </c>
      <c r="K256" s="13">
        <v>0</v>
      </c>
      <c r="L256" s="14">
        <f>LOG(I256+([3]Values!$D$8*J256)+([3]Values!$D$9*K256)+(M256*[3]Values!D$10)+(N256*[3]Values!$D$11)+1)</f>
        <v>1.9834704505085086E-2</v>
      </c>
      <c r="M256" s="93">
        <v>5</v>
      </c>
      <c r="N256" s="93">
        <v>0</v>
      </c>
      <c r="O256" s="106" t="s">
        <v>23</v>
      </c>
    </row>
    <row r="257" spans="1:15" ht="12.3">
      <c r="A257" s="19">
        <v>43383</v>
      </c>
      <c r="B257" s="20" t="s">
        <v>44</v>
      </c>
      <c r="C257" s="20" t="s">
        <v>552</v>
      </c>
      <c r="D257" s="105">
        <v>6</v>
      </c>
      <c r="E257" s="20" t="s">
        <v>362</v>
      </c>
      <c r="F257" s="20" t="s">
        <v>20</v>
      </c>
      <c r="G257" s="20"/>
      <c r="H257" s="20"/>
      <c r="I257" s="12">
        <v>4</v>
      </c>
      <c r="J257" s="21">
        <v>36</v>
      </c>
      <c r="K257" s="21">
        <v>60</v>
      </c>
      <c r="L257" s="22">
        <f>LOG(I257+([3]Values!$D$8*J257)+([3]Values!$D$9*K257)+(M257*[3]Values!D$10)+(N257*[3]Values!$D$11)+1)</f>
        <v>1.4498910806086105</v>
      </c>
      <c r="M257" s="102">
        <v>36</v>
      </c>
      <c r="N257" s="102">
        <v>397</v>
      </c>
      <c r="O257" s="103" t="s">
        <v>23</v>
      </c>
    </row>
    <row r="258" spans="1:15" ht="12.3">
      <c r="A258" s="19">
        <v>43383</v>
      </c>
      <c r="B258" s="20" t="s">
        <v>583</v>
      </c>
      <c r="C258" s="20" t="s">
        <v>1274</v>
      </c>
      <c r="D258" s="105">
        <v>7</v>
      </c>
      <c r="E258" s="20" t="s">
        <v>362</v>
      </c>
      <c r="F258" s="20" t="s">
        <v>20</v>
      </c>
      <c r="G258" s="20">
        <v>40</v>
      </c>
      <c r="H258" s="20" t="s">
        <v>123</v>
      </c>
      <c r="I258" s="12">
        <v>1</v>
      </c>
      <c r="J258" s="21"/>
      <c r="K258" s="21"/>
      <c r="L258" s="22">
        <f>LOG(I258+([3]Values!$D$8*J258)+([3]Values!$D$9*K258)+(M258*[3]Values!D$10)+(N258*[3]Values!$D$11)+1)</f>
        <v>0.3010299956639812</v>
      </c>
      <c r="M258" s="102"/>
      <c r="N258" s="102"/>
      <c r="O258" s="103" t="s">
        <v>23</v>
      </c>
    </row>
    <row r="259" spans="1:15" ht="12.3">
      <c r="A259" s="115">
        <v>43384</v>
      </c>
      <c r="B259" s="90" t="s">
        <v>83</v>
      </c>
      <c r="C259" s="91" t="s">
        <v>1069</v>
      </c>
      <c r="D259" s="91">
        <v>4.5</v>
      </c>
      <c r="E259" s="91" t="s">
        <v>362</v>
      </c>
      <c r="F259" s="91" t="s">
        <v>412</v>
      </c>
      <c r="G259" s="91"/>
      <c r="H259" s="91"/>
      <c r="I259" s="12">
        <v>0</v>
      </c>
      <c r="J259" s="13">
        <v>0</v>
      </c>
      <c r="K259" s="13">
        <v>0</v>
      </c>
      <c r="L259" s="14">
        <f>LOG(I259+([3]Values!$D$8*J259)+([3]Values!$D$9*K259)+(M259*[3]Values!D$10)+(N259*[3]Values!$D$11)+1)</f>
        <v>7.4421564252915698E-2</v>
      </c>
      <c r="M259" s="93">
        <v>20</v>
      </c>
      <c r="N259" s="93">
        <v>0</v>
      </c>
      <c r="O259" s="106" t="s">
        <v>23</v>
      </c>
    </row>
    <row r="260" spans="1:15" ht="12.3">
      <c r="A260" s="115">
        <v>43386</v>
      </c>
      <c r="B260" s="90" t="s">
        <v>317</v>
      </c>
      <c r="C260" s="91" t="s">
        <v>1275</v>
      </c>
      <c r="D260" s="91"/>
      <c r="E260" s="91" t="s">
        <v>362</v>
      </c>
      <c r="F260" s="91" t="s">
        <v>20</v>
      </c>
      <c r="G260" s="91"/>
      <c r="H260" s="91"/>
      <c r="I260" s="12">
        <v>0</v>
      </c>
      <c r="J260" s="13">
        <v>0</v>
      </c>
      <c r="K260" s="13">
        <v>0</v>
      </c>
      <c r="L260" s="14">
        <f>LOG(I260+([3]Values!$D$8*J260)+([3]Values!$D$9*K260)+(M260*[3]Values!D$10)+(N260*[3]Values!$D$11)+1)</f>
        <v>4.0400731096553195E-3</v>
      </c>
      <c r="M260" s="93">
        <v>1</v>
      </c>
      <c r="N260" s="93">
        <v>0</v>
      </c>
      <c r="O260" s="106" t="s">
        <v>23</v>
      </c>
    </row>
    <row r="261" spans="1:15" ht="12.3">
      <c r="A261" s="115">
        <v>43390</v>
      </c>
      <c r="B261" s="90" t="s">
        <v>83</v>
      </c>
      <c r="C261" s="91" t="s">
        <v>323</v>
      </c>
      <c r="D261" s="91">
        <v>4.5</v>
      </c>
      <c r="E261" s="91" t="s">
        <v>362</v>
      </c>
      <c r="F261" s="91" t="s">
        <v>20</v>
      </c>
      <c r="G261" s="91"/>
      <c r="H261" s="91"/>
      <c r="I261" s="12">
        <v>0</v>
      </c>
      <c r="J261" s="13">
        <v>1</v>
      </c>
      <c r="K261" s="13"/>
      <c r="L261" s="14">
        <f>LOG(I261+([3]Values!$D$8*J261)+([3]Values!$D$9*K261)+(M261*[3]Values!D$10)+(N261*[3]Values!$D$11)+1)</f>
        <v>9.8658390713159613E-2</v>
      </c>
      <c r="M261" s="93"/>
      <c r="N261" s="93"/>
      <c r="O261" s="106" t="s">
        <v>23</v>
      </c>
    </row>
    <row r="262" spans="1:15" ht="12.3">
      <c r="A262" s="115">
        <v>43391</v>
      </c>
      <c r="B262" s="90" t="s">
        <v>17</v>
      </c>
      <c r="C262" s="91" t="s">
        <v>1276</v>
      </c>
      <c r="D262" s="91">
        <v>4.0999999999999996</v>
      </c>
      <c r="E262" s="91" t="s">
        <v>362</v>
      </c>
      <c r="F262" s="91" t="s">
        <v>20</v>
      </c>
      <c r="G262" s="91">
        <v>12</v>
      </c>
      <c r="H262" s="91"/>
      <c r="I262" s="12">
        <v>0</v>
      </c>
      <c r="J262" s="13"/>
      <c r="K262" s="13"/>
      <c r="L262" s="14">
        <f>LOG(I262+([3]Values!$D$8*J262)+([3]Values!$D$9*K262)+(M262*[3]Values!D$10)+(N262*[3]Values!$D$11)+1)</f>
        <v>7.4421564252915698E-2</v>
      </c>
      <c r="M262" s="93">
        <v>20</v>
      </c>
      <c r="N262" s="93"/>
      <c r="O262" s="106" t="s">
        <v>23</v>
      </c>
    </row>
    <row r="263" spans="1:15" ht="12.3">
      <c r="A263" s="115">
        <v>43393</v>
      </c>
      <c r="B263" s="90" t="s">
        <v>39</v>
      </c>
      <c r="C263" s="91" t="s">
        <v>1186</v>
      </c>
      <c r="D263" s="95">
        <v>4</v>
      </c>
      <c r="E263" s="91" t="s">
        <v>362</v>
      </c>
      <c r="F263" s="91" t="s">
        <v>1277</v>
      </c>
      <c r="G263" s="91">
        <v>5</v>
      </c>
      <c r="H263" s="91"/>
      <c r="I263" s="12">
        <v>0</v>
      </c>
      <c r="J263" s="13">
        <v>0</v>
      </c>
      <c r="K263" s="13">
        <v>0</v>
      </c>
      <c r="L263" s="14">
        <f>LOG(I263+([3]Values!$D$8*J263)+([3]Values!$D$9*K263)+(M263*[3]Values!D$10)+(N263*[3]Values!$D$11)+1)</f>
        <v>1.9834704505085086E-2</v>
      </c>
      <c r="M263" s="93">
        <v>5</v>
      </c>
      <c r="N263" s="93">
        <v>0</v>
      </c>
      <c r="O263" s="106" t="s">
        <v>23</v>
      </c>
    </row>
    <row r="264" spans="1:15" ht="12.3">
      <c r="A264" s="115">
        <v>43398</v>
      </c>
      <c r="B264" s="90" t="s">
        <v>156</v>
      </c>
      <c r="C264" s="91" t="s">
        <v>417</v>
      </c>
      <c r="D264" s="90">
        <v>6.8</v>
      </c>
      <c r="E264" s="91" t="s">
        <v>362</v>
      </c>
      <c r="F264" s="91" t="s">
        <v>20</v>
      </c>
      <c r="G264" s="91"/>
      <c r="H264" s="91" t="s">
        <v>363</v>
      </c>
      <c r="I264" s="12">
        <v>0</v>
      </c>
      <c r="J264" s="13">
        <v>4</v>
      </c>
      <c r="K264" s="13"/>
      <c r="L264" s="14">
        <f>LOG(I264+([3]Values!$D$8*J264)+([3]Values!$D$9*K264)+(M264*[3]Values!D$10)+(N264*[3]Values!$D$11)+1)</f>
        <v>0.86262235064466064</v>
      </c>
      <c r="M264" s="93">
        <v>144</v>
      </c>
      <c r="N264" s="93">
        <v>124</v>
      </c>
      <c r="O264" s="106" t="s">
        <v>588</v>
      </c>
    </row>
    <row r="265" spans="1:15" ht="12.3">
      <c r="A265" s="115">
        <v>43400</v>
      </c>
      <c r="B265" s="90" t="s">
        <v>72</v>
      </c>
      <c r="C265" s="91" t="s">
        <v>300</v>
      </c>
      <c r="D265" s="91">
        <v>4.8</v>
      </c>
      <c r="E265" s="91" t="s">
        <v>362</v>
      </c>
      <c r="F265" s="91" t="s">
        <v>20</v>
      </c>
      <c r="G265" s="91">
        <v>12</v>
      </c>
      <c r="H265" s="91"/>
      <c r="I265" s="12">
        <v>0</v>
      </c>
      <c r="J265" s="13">
        <v>0</v>
      </c>
      <c r="K265" s="13"/>
      <c r="L265" s="14">
        <f>LOG(I265+([3]Values!$D$8*J265)+([3]Values!$D$9*K265)+(M265*[3]Values!D$10)+(N265*[3]Values!$D$11)+1)</f>
        <v>0.25530681861970783</v>
      </c>
      <c r="M265" s="93">
        <v>45</v>
      </c>
      <c r="N265" s="93">
        <v>12</v>
      </c>
      <c r="O265" s="106" t="s">
        <v>23</v>
      </c>
    </row>
    <row r="266" spans="1:15" ht="12.3">
      <c r="A266" s="115">
        <v>43401</v>
      </c>
      <c r="B266" s="90" t="s">
        <v>1278</v>
      </c>
      <c r="C266" s="91" t="s">
        <v>1279</v>
      </c>
      <c r="D266" s="90">
        <v>5.8</v>
      </c>
      <c r="E266" s="91" t="s">
        <v>362</v>
      </c>
      <c r="F266" s="91" t="s">
        <v>20</v>
      </c>
      <c r="G266" s="91">
        <v>155</v>
      </c>
      <c r="H266" s="91"/>
      <c r="I266" s="12">
        <v>0</v>
      </c>
      <c r="J266" s="13">
        <v>0</v>
      </c>
      <c r="K266" s="13">
        <v>0</v>
      </c>
      <c r="L266" s="14">
        <f>LOG(I266+([3]Values!$D$8*J266)+([3]Values!$D$9*K266)+(M266*[3]Values!D$10)+(N266*[3]Values!$D$11)+1)</f>
        <v>4.0400731096553195E-3</v>
      </c>
      <c r="M266" s="93">
        <v>1</v>
      </c>
      <c r="N266" s="93">
        <v>0</v>
      </c>
      <c r="O266" s="106" t="s">
        <v>23</v>
      </c>
    </row>
    <row r="267" spans="1:15" ht="12.3">
      <c r="A267" s="115"/>
      <c r="B267" s="90"/>
      <c r="C267" s="91"/>
      <c r="D267" s="90">
        <v>5.8</v>
      </c>
      <c r="E267" s="91"/>
      <c r="F267" s="91"/>
      <c r="G267" s="91"/>
      <c r="H267" s="91"/>
      <c r="I267" s="12">
        <v>0</v>
      </c>
      <c r="J267" s="13">
        <v>0</v>
      </c>
      <c r="K267" s="13">
        <v>0</v>
      </c>
      <c r="L267" s="14">
        <f>LOG(I267+([3]Values!$D$8*J267)+([3]Values!$D$9*K267)+(M267*[3]Values!D$10)+(N267*[3]Values!$D$11)+1)</f>
        <v>4.0400731096553195E-3</v>
      </c>
      <c r="M267" s="93">
        <v>1</v>
      </c>
      <c r="N267" s="93">
        <v>0</v>
      </c>
      <c r="O267" s="106" t="s">
        <v>23</v>
      </c>
    </row>
    <row r="268" spans="1:15" ht="12.6">
      <c r="A268" s="115">
        <v>43401</v>
      </c>
      <c r="B268" s="90" t="s">
        <v>1280</v>
      </c>
      <c r="C268" s="91" t="s">
        <v>1281</v>
      </c>
      <c r="D268" s="91">
        <v>4.0999999999999996</v>
      </c>
      <c r="E268" s="91" t="s">
        <v>362</v>
      </c>
      <c r="F268" s="91" t="s">
        <v>20</v>
      </c>
      <c r="G268" s="91"/>
      <c r="H268" s="91"/>
      <c r="I268" s="12">
        <v>0</v>
      </c>
      <c r="J268" s="13">
        <v>0</v>
      </c>
      <c r="K268" s="13">
        <v>0</v>
      </c>
      <c r="L268" s="14">
        <f>LOG(I268+([3]Values!$D$8*J268)+([3]Values!$D$9*K268)+(M268*[3]Values!D$10)+(N268*[3]Values!$D$11)+1)</f>
        <v>9.1192102996563829E-2</v>
      </c>
      <c r="M268" s="116">
        <v>25</v>
      </c>
      <c r="N268" s="93">
        <v>0</v>
      </c>
      <c r="O268" s="106" t="s">
        <v>23</v>
      </c>
    </row>
    <row r="269" spans="1:15" ht="12.3">
      <c r="A269" s="115">
        <v>43404</v>
      </c>
      <c r="B269" s="90" t="s">
        <v>83</v>
      </c>
      <c r="C269" s="91" t="s">
        <v>150</v>
      </c>
      <c r="D269" s="91">
        <v>5.0999999999999996</v>
      </c>
      <c r="E269" s="91" t="s">
        <v>362</v>
      </c>
      <c r="F269" s="91" t="s">
        <v>20</v>
      </c>
      <c r="G269" s="91">
        <v>19</v>
      </c>
      <c r="H269" s="91" t="s">
        <v>35</v>
      </c>
      <c r="I269" s="12">
        <v>0</v>
      </c>
      <c r="J269" s="13">
        <v>4</v>
      </c>
      <c r="K269" s="13">
        <v>3</v>
      </c>
      <c r="L269" s="14">
        <f>LOG(I269+([3]Values!$D$8*J269)+([3]Values!$D$9*K269)+(M269*[3]Values!D$10)+(N269*[3]Values!$D$11)+1)</f>
        <v>0.98751699831489348</v>
      </c>
      <c r="M269" s="93">
        <v>777</v>
      </c>
      <c r="N269" s="93">
        <v>12</v>
      </c>
      <c r="O269" s="106" t="s">
        <v>23</v>
      </c>
    </row>
    <row r="270" spans="1:15" ht="12.6">
      <c r="A270" s="115">
        <v>43405</v>
      </c>
      <c r="B270" s="90" t="s">
        <v>359</v>
      </c>
      <c r="C270" s="91" t="s">
        <v>1160</v>
      </c>
      <c r="D270" s="90">
        <v>6.2</v>
      </c>
      <c r="E270" s="91" t="s">
        <v>362</v>
      </c>
      <c r="F270" s="91" t="s">
        <v>20</v>
      </c>
      <c r="G270" s="91">
        <v>104</v>
      </c>
      <c r="H270" s="91" t="s">
        <v>35</v>
      </c>
      <c r="I270" s="12">
        <v>0</v>
      </c>
      <c r="J270" s="13">
        <v>0</v>
      </c>
      <c r="K270" s="13">
        <v>0</v>
      </c>
      <c r="L270" s="14">
        <f>LOG(I270+([3]Values!$D$8*J270)+([3]Values!$D$9*K270)+(M270*[3]Values!D$10)+(N270*[3]Values!$D$11)+1)</f>
        <v>1.9834704505085086E-2</v>
      </c>
      <c r="M270" s="116">
        <v>5</v>
      </c>
      <c r="N270" s="93">
        <v>0</v>
      </c>
      <c r="O270" s="106" t="s">
        <v>23</v>
      </c>
    </row>
    <row r="271" spans="1:15" ht="12.3">
      <c r="A271" s="115">
        <v>43407</v>
      </c>
      <c r="B271" s="90" t="s">
        <v>44</v>
      </c>
      <c r="C271" s="91" t="s">
        <v>1282</v>
      </c>
      <c r="D271" s="91">
        <v>4.9000000000000004</v>
      </c>
      <c r="E271" s="91" t="s">
        <v>478</v>
      </c>
      <c r="F271" s="91" t="s">
        <v>20</v>
      </c>
      <c r="G271" s="91"/>
      <c r="H271" s="91"/>
      <c r="I271" s="12">
        <v>0</v>
      </c>
      <c r="J271" s="13">
        <v>12</v>
      </c>
      <c r="K271" s="13"/>
      <c r="L271" s="14">
        <f>LOG(I271+([3]Values!$D$8*J271)+([3]Values!$D$9*K271)+(M271*[3]Values!D$10)+(N271*[3]Values!$D$11)+1)</f>
        <v>0.60858042846226457</v>
      </c>
      <c r="M271" s="93"/>
      <c r="N271" s="93"/>
      <c r="O271" s="106" t="s">
        <v>23</v>
      </c>
    </row>
    <row r="272" spans="1:15" ht="12.6">
      <c r="A272" s="115">
        <v>43408</v>
      </c>
      <c r="B272" s="90" t="s">
        <v>24</v>
      </c>
      <c r="C272" s="91" t="s">
        <v>397</v>
      </c>
      <c r="D272" s="91">
        <v>2.9</v>
      </c>
      <c r="E272" s="91" t="s">
        <v>478</v>
      </c>
      <c r="F272" s="91" t="s">
        <v>20</v>
      </c>
      <c r="G272" s="91"/>
      <c r="H272" s="91"/>
      <c r="I272" s="12">
        <v>0</v>
      </c>
      <c r="J272" s="13">
        <v>0</v>
      </c>
      <c r="K272" s="13">
        <v>0</v>
      </c>
      <c r="L272" s="14">
        <f>LOG(I272+([3]Values!$D$8*J272)+([3]Values!$D$9*K272)+(M272*[3]Values!D$10)+(N272*[3]Values!$D$11)+1)</f>
        <v>1.9834704505085086E-2</v>
      </c>
      <c r="M272" s="116">
        <v>5</v>
      </c>
      <c r="N272" s="93">
        <v>0</v>
      </c>
      <c r="O272" s="106" t="s">
        <v>23</v>
      </c>
    </row>
    <row r="273" spans="1:15" ht="12.3">
      <c r="A273" s="115">
        <v>43409</v>
      </c>
      <c r="B273" s="90" t="s">
        <v>62</v>
      </c>
      <c r="C273" s="91" t="s">
        <v>1283</v>
      </c>
      <c r="D273" s="91">
        <v>4.9000000000000004</v>
      </c>
      <c r="E273" s="91" t="s">
        <v>478</v>
      </c>
      <c r="F273" s="91" t="s">
        <v>20</v>
      </c>
      <c r="G273" s="91">
        <v>3</v>
      </c>
      <c r="H273" s="91" t="s">
        <v>134</v>
      </c>
      <c r="I273" s="12">
        <v>0</v>
      </c>
      <c r="J273" s="13">
        <v>11</v>
      </c>
      <c r="K273" s="13">
        <v>0</v>
      </c>
      <c r="L273" s="14">
        <f>LOG(I273+([3]Values!$D$8*J273)+([3]Values!$D$9*K273)+(M273*[3]Values!D$10)+(N273*[3]Values!$D$11)+1)</f>
        <v>0.5919848188664466</v>
      </c>
      <c r="M273" s="93">
        <v>11</v>
      </c>
      <c r="N273" s="93">
        <v>0</v>
      </c>
      <c r="O273" s="106" t="s">
        <v>23</v>
      </c>
    </row>
    <row r="274" spans="1:15" ht="12.6">
      <c r="A274" s="115">
        <v>43409</v>
      </c>
      <c r="B274" s="90" t="s">
        <v>44</v>
      </c>
      <c r="C274" s="91" t="s">
        <v>1282</v>
      </c>
      <c r="D274" s="90">
        <v>5.5</v>
      </c>
      <c r="E274" s="91" t="s">
        <v>478</v>
      </c>
      <c r="F274" s="91" t="s">
        <v>20</v>
      </c>
      <c r="G274" s="91"/>
      <c r="H274" s="91"/>
      <c r="I274" s="12"/>
      <c r="J274" s="13"/>
      <c r="K274" s="13"/>
      <c r="L274" s="14">
        <f>LOG(I274+([3]Values!$D$8*J274)+([3]Values!$D$9*K274)+(M274*[3]Values!D$10)+(N274*[3]Values!$D$11)+1)</f>
        <v>0</v>
      </c>
      <c r="M274" s="116"/>
      <c r="N274" s="93"/>
      <c r="O274" s="106" t="s">
        <v>23</v>
      </c>
    </row>
    <row r="275" spans="1:15" ht="12.6">
      <c r="A275" s="115">
        <v>43410</v>
      </c>
      <c r="B275" s="90" t="s">
        <v>1280</v>
      </c>
      <c r="C275" s="91" t="s">
        <v>1284</v>
      </c>
      <c r="D275" s="91">
        <v>5.0999999999999996</v>
      </c>
      <c r="E275" s="91" t="s">
        <v>362</v>
      </c>
      <c r="F275" s="91" t="s">
        <v>20</v>
      </c>
      <c r="G275" s="91"/>
      <c r="H275" s="91"/>
      <c r="I275" s="12">
        <v>0</v>
      </c>
      <c r="J275" s="13">
        <v>0</v>
      </c>
      <c r="K275" s="13"/>
      <c r="L275" s="14">
        <f>LOG(I275+([3]Values!$D$8*J275)+([3]Values!$D$9*K275)+(M275*[3]Values!D$10)+(N275*[3]Values!$D$11)+1)</f>
        <v>1.9834704505085086E-2</v>
      </c>
      <c r="M275" s="116">
        <v>5</v>
      </c>
      <c r="N275" s="93">
        <v>0</v>
      </c>
      <c r="O275" s="106" t="s">
        <v>23</v>
      </c>
    </row>
    <row r="276" spans="1:15" ht="12.3">
      <c r="A276" s="115">
        <v>43410</v>
      </c>
      <c r="B276" s="90" t="s">
        <v>44</v>
      </c>
      <c r="C276" s="91" t="s">
        <v>92</v>
      </c>
      <c r="D276" s="91">
        <v>5.3</v>
      </c>
      <c r="E276" s="91" t="s">
        <v>362</v>
      </c>
      <c r="F276" s="91" t="s">
        <v>20</v>
      </c>
      <c r="G276" s="91"/>
      <c r="H276" s="91"/>
      <c r="I276" s="12">
        <v>0</v>
      </c>
      <c r="J276" s="13">
        <v>0</v>
      </c>
      <c r="K276" s="13">
        <v>0</v>
      </c>
      <c r="L276" s="14">
        <f>LOG(I276+([3]Values!$D$8*J276)+([3]Values!$D$9*K276)+(M276*[3]Values!D$10)+(N276*[3]Values!$D$11)+1)</f>
        <v>1.5939572029432809E-2</v>
      </c>
      <c r="M276" s="93">
        <v>4</v>
      </c>
      <c r="N276" s="93">
        <v>0</v>
      </c>
      <c r="O276" s="106" t="s">
        <v>23</v>
      </c>
    </row>
    <row r="277" spans="1:15" ht="12.3">
      <c r="A277" s="115">
        <v>43411</v>
      </c>
      <c r="B277" s="90" t="s">
        <v>44</v>
      </c>
      <c r="C277" s="91" t="s">
        <v>1282</v>
      </c>
      <c r="D277" s="91">
        <v>5.2</v>
      </c>
      <c r="E277" s="91" t="s">
        <v>478</v>
      </c>
      <c r="F277" s="91" t="s">
        <v>20</v>
      </c>
      <c r="G277" s="91"/>
      <c r="H277" s="91"/>
      <c r="I277" s="12">
        <v>0</v>
      </c>
      <c r="J277" s="13">
        <v>2</v>
      </c>
      <c r="K277" s="13"/>
      <c r="L277" s="14">
        <f>LOG(I277+([3]Values!$D$8*J277)+([3]Values!$D$9*K277)+(M277*[3]Values!D$10)+(N277*[3]Values!$D$11)+1)</f>
        <v>0.17900132376844199</v>
      </c>
      <c r="M277" s="93"/>
      <c r="N277" s="93"/>
      <c r="O277" s="106" t="s">
        <v>23</v>
      </c>
    </row>
    <row r="278" spans="1:15" ht="12.3">
      <c r="A278" s="115">
        <v>43412</v>
      </c>
      <c r="B278" s="90" t="s">
        <v>67</v>
      </c>
      <c r="C278" s="91" t="s">
        <v>68</v>
      </c>
      <c r="D278" s="91">
        <v>3.9</v>
      </c>
      <c r="E278" s="91" t="s">
        <v>362</v>
      </c>
      <c r="F278" s="91" t="s">
        <v>69</v>
      </c>
      <c r="G278" s="91">
        <v>1</v>
      </c>
      <c r="H278" s="91"/>
      <c r="I278" s="12">
        <v>0</v>
      </c>
      <c r="J278" s="13">
        <v>0</v>
      </c>
      <c r="K278" s="13">
        <v>0</v>
      </c>
      <c r="L278" s="14">
        <f>LOG(I278+([3]Values!$D$8*J278)+([3]Values!$D$9*K278)+(M278*[3]Values!D$10)+(N278*[3]Values!$D$11)+1)</f>
        <v>0.45776130344442872</v>
      </c>
      <c r="M278" s="93">
        <v>200</v>
      </c>
      <c r="N278" s="93">
        <v>0</v>
      </c>
      <c r="O278" s="106" t="s">
        <v>23</v>
      </c>
    </row>
    <row r="279" spans="1:15" ht="12.3">
      <c r="A279" s="115">
        <v>43415</v>
      </c>
      <c r="B279" s="90" t="s">
        <v>72</v>
      </c>
      <c r="C279" s="91" t="s">
        <v>1269</v>
      </c>
      <c r="D279" s="95">
        <v>4</v>
      </c>
      <c r="E279" s="91" t="s">
        <v>362</v>
      </c>
      <c r="F279" s="91" t="s">
        <v>20</v>
      </c>
      <c r="G279" s="91">
        <v>18</v>
      </c>
      <c r="H279" s="91"/>
      <c r="I279" s="12">
        <v>0</v>
      </c>
      <c r="J279" s="13">
        <v>0</v>
      </c>
      <c r="K279" s="13">
        <v>0</v>
      </c>
      <c r="L279" s="14">
        <f>LOG(I279+([3]Values!$D$8*J279)+([3]Values!$D$9*K279)+(M279*[3]Values!D$10)+(N279*[3]Values!$D$11)+1)</f>
        <v>8.0429091224550799E-3</v>
      </c>
      <c r="M279" s="93">
        <v>2</v>
      </c>
      <c r="N279" s="93">
        <v>0</v>
      </c>
      <c r="O279" s="106" t="s">
        <v>23</v>
      </c>
    </row>
    <row r="280" spans="1:15" ht="12.6">
      <c r="A280" s="115">
        <v>43415</v>
      </c>
      <c r="B280" s="90" t="s">
        <v>24</v>
      </c>
      <c r="C280" s="91" t="s">
        <v>397</v>
      </c>
      <c r="D280" s="91">
        <v>3.2</v>
      </c>
      <c r="E280" s="91" t="s">
        <v>478</v>
      </c>
      <c r="F280" s="91" t="s">
        <v>20</v>
      </c>
      <c r="G280" s="91"/>
      <c r="H280" s="91"/>
      <c r="I280" s="12">
        <v>0</v>
      </c>
      <c r="J280" s="13">
        <v>0</v>
      </c>
      <c r="K280" s="13"/>
      <c r="L280" s="14">
        <f>LOG(I280+([3]Values!$D$8*J280)+([3]Values!$D$9*K280)+(M280*[3]Values!D$10)+(N280*[3]Values!$D$11)+1)</f>
        <v>0.10733904346300764</v>
      </c>
      <c r="M280" s="116">
        <v>30</v>
      </c>
      <c r="N280" s="93"/>
      <c r="O280" s="106" t="s">
        <v>23</v>
      </c>
    </row>
    <row r="281" spans="1:15" ht="12.6">
      <c r="A281" s="115">
        <v>43418</v>
      </c>
      <c r="B281" s="90" t="s">
        <v>172</v>
      </c>
      <c r="C281" s="91" t="s">
        <v>1285</v>
      </c>
      <c r="D281" s="90">
        <v>6.1</v>
      </c>
      <c r="E281" s="91" t="s">
        <v>362</v>
      </c>
      <c r="F281" s="91" t="s">
        <v>20</v>
      </c>
      <c r="G281" s="91">
        <v>54</v>
      </c>
      <c r="H281" s="91" t="s">
        <v>35</v>
      </c>
      <c r="I281" s="12">
        <v>0</v>
      </c>
      <c r="J281" s="13">
        <v>0</v>
      </c>
      <c r="K281" s="13">
        <v>0</v>
      </c>
      <c r="L281" s="14">
        <f>LOG(I281+([3]Values!$D$8*J281)+([3]Values!$D$9*K281)+(M281*[3]Values!D$10)+(N281*[3]Values!$D$11)+1)</f>
        <v>4.0400731096553195E-3</v>
      </c>
      <c r="M281" s="116">
        <v>1</v>
      </c>
      <c r="N281" s="93">
        <v>0</v>
      </c>
      <c r="O281" s="106" t="s">
        <v>23</v>
      </c>
    </row>
    <row r="282" spans="1:15" ht="12.3">
      <c r="A282" s="19">
        <v>43418</v>
      </c>
      <c r="B282" s="20" t="s">
        <v>44</v>
      </c>
      <c r="C282" s="20" t="s">
        <v>176</v>
      </c>
      <c r="D282" s="20">
        <v>5.0999999999999996</v>
      </c>
      <c r="E282" s="20" t="s">
        <v>362</v>
      </c>
      <c r="F282" s="20" t="s">
        <v>20</v>
      </c>
      <c r="G282" s="20"/>
      <c r="H282" s="20"/>
      <c r="I282" s="12">
        <v>1</v>
      </c>
      <c r="J282" s="21">
        <v>0</v>
      </c>
      <c r="K282" s="21">
        <v>0</v>
      </c>
      <c r="L282" s="22">
        <f>LOG(I282+([3]Values!$D$8*J282)+([3]Values!$D$9*K282)+(M282*[3]Values!D$10)+(N282*[3]Values!$D$11)+1)</f>
        <v>0.3010299956639812</v>
      </c>
      <c r="M282" s="108">
        <v>0</v>
      </c>
      <c r="N282" s="102">
        <v>0</v>
      </c>
      <c r="O282" s="103" t="s">
        <v>23</v>
      </c>
    </row>
    <row r="283" spans="1:15" ht="12.3">
      <c r="A283" s="19">
        <v>43418</v>
      </c>
      <c r="B283" s="20" t="s">
        <v>44</v>
      </c>
      <c r="C283" s="20" t="s">
        <v>1282</v>
      </c>
      <c r="D283" s="20">
        <v>5.5</v>
      </c>
      <c r="E283" s="20" t="s">
        <v>478</v>
      </c>
      <c r="F283" s="20" t="s">
        <v>20</v>
      </c>
      <c r="G283" s="20"/>
      <c r="H283" s="20"/>
      <c r="I283" s="12">
        <v>8</v>
      </c>
      <c r="J283" s="21">
        <v>6</v>
      </c>
      <c r="K283" s="21">
        <v>78</v>
      </c>
      <c r="L283" s="22">
        <f>LOG(I283+([3]Values!$D$8*J283)+([3]Values!$D$9*K283)+(M283*[3]Values!D$10)+(N283*[3]Values!$D$11)+1)</f>
        <v>1.1968018853220534</v>
      </c>
      <c r="M283" s="108">
        <v>329</v>
      </c>
      <c r="N283" s="102">
        <v>22</v>
      </c>
      <c r="O283" s="103" t="s">
        <v>23</v>
      </c>
    </row>
    <row r="284" spans="1:15" ht="12.6">
      <c r="A284" s="115">
        <v>43420</v>
      </c>
      <c r="B284" s="90" t="s">
        <v>76</v>
      </c>
      <c r="C284" s="91" t="s">
        <v>322</v>
      </c>
      <c r="D284" s="91">
        <v>3.4</v>
      </c>
      <c r="E284" s="91" t="s">
        <v>362</v>
      </c>
      <c r="F284" s="91" t="s">
        <v>20</v>
      </c>
      <c r="G284" s="91">
        <v>12</v>
      </c>
      <c r="H284" s="91"/>
      <c r="I284" s="12">
        <v>0</v>
      </c>
      <c r="J284" s="13">
        <v>0</v>
      </c>
      <c r="K284" s="13">
        <v>0</v>
      </c>
      <c r="L284" s="14">
        <f>LOG(I284+([3]Values!$D$8*J284)+([3]Values!$D$9*K284)+(M284*[3]Values!D$10)+(N284*[3]Values!$D$11)+1)</f>
        <v>5.6153728028559037E-2</v>
      </c>
      <c r="M284" s="93">
        <v>8</v>
      </c>
      <c r="N284" s="116">
        <v>2</v>
      </c>
      <c r="O284" s="106" t="s">
        <v>23</v>
      </c>
    </row>
    <row r="285" spans="1:15" ht="12.3">
      <c r="A285" s="115">
        <v>43420</v>
      </c>
      <c r="B285" s="90" t="s">
        <v>17</v>
      </c>
      <c r="C285" s="91" t="s">
        <v>1137</v>
      </c>
      <c r="D285" s="91">
        <v>5.0999999999999996</v>
      </c>
      <c r="E285" s="91" t="s">
        <v>362</v>
      </c>
      <c r="F285" s="91" t="s">
        <v>20</v>
      </c>
      <c r="G285" s="91">
        <v>20</v>
      </c>
      <c r="H285" s="91"/>
      <c r="I285" s="12">
        <v>0</v>
      </c>
      <c r="J285" s="13">
        <v>0</v>
      </c>
      <c r="K285" s="13">
        <v>0</v>
      </c>
      <c r="L285" s="14">
        <f>LOG(I285+([3]Values!$D$8*J285)+([3]Values!$D$9*K285)+(M285*[3]Values!D$10)+(N285*[3]Values!$D$11)+1)</f>
        <v>0.52329164652961613</v>
      </c>
      <c r="M285" s="93">
        <v>250</v>
      </c>
      <c r="N285" s="93">
        <v>0</v>
      </c>
      <c r="O285" s="106" t="s">
        <v>23</v>
      </c>
    </row>
    <row r="286" spans="1:15" ht="12.3">
      <c r="A286" s="115">
        <v>43422</v>
      </c>
      <c r="B286" s="90" t="s">
        <v>199</v>
      </c>
      <c r="C286" s="91" t="s">
        <v>339</v>
      </c>
      <c r="D286" s="91">
        <v>4.2</v>
      </c>
      <c r="E286" s="91" t="s">
        <v>362</v>
      </c>
      <c r="F286" s="91" t="s">
        <v>20</v>
      </c>
      <c r="G286" s="91">
        <v>43</v>
      </c>
      <c r="H286" s="91"/>
      <c r="I286" s="12">
        <v>0</v>
      </c>
      <c r="J286" s="13">
        <v>0</v>
      </c>
      <c r="K286" s="13">
        <v>0</v>
      </c>
      <c r="L286" s="14">
        <f>LOG(I286+([3]Values!$D$8*J286)+([3]Values!$D$9*K286)+(M286*[3]Values!D$10)+(N286*[3]Values!$D$11)+1)</f>
        <v>4.0400731096553195E-3</v>
      </c>
      <c r="M286" s="93">
        <v>1</v>
      </c>
      <c r="N286" s="93">
        <v>0</v>
      </c>
      <c r="O286" s="106" t="s">
        <v>23</v>
      </c>
    </row>
    <row r="287" spans="1:15" ht="12.3">
      <c r="A287" s="115">
        <v>43424</v>
      </c>
      <c r="B287" s="90" t="s">
        <v>72</v>
      </c>
      <c r="C287" s="91" t="s">
        <v>73</v>
      </c>
      <c r="D287" s="91">
        <v>5.7</v>
      </c>
      <c r="E287" s="91" t="s">
        <v>362</v>
      </c>
      <c r="F287" s="91" t="s">
        <v>20</v>
      </c>
      <c r="G287" s="91">
        <v>36</v>
      </c>
      <c r="H287" s="91"/>
      <c r="I287" s="12">
        <v>0</v>
      </c>
      <c r="J287" s="13">
        <v>19</v>
      </c>
      <c r="K287" s="13">
        <v>4</v>
      </c>
      <c r="L287" s="14">
        <f>LOG(I287+([3]Values!$D$8*J287)+([3]Values!$D$9*K287)+(M287*[3]Values!D$10)+(N287*[3]Values!$D$11)+1)</f>
        <v>0.77958714390250172</v>
      </c>
      <c r="M287" s="93">
        <v>4</v>
      </c>
      <c r="N287" s="93">
        <v>2</v>
      </c>
      <c r="O287" s="106" t="s">
        <v>23</v>
      </c>
    </row>
    <row r="288" spans="1:15" ht="12.3">
      <c r="A288" s="115">
        <v>43424</v>
      </c>
      <c r="B288" s="90" t="s">
        <v>39</v>
      </c>
      <c r="C288" s="91" t="s">
        <v>1286</v>
      </c>
      <c r="D288" s="91">
        <v>4.0999999999999996</v>
      </c>
      <c r="E288" s="91" t="s">
        <v>362</v>
      </c>
      <c r="F288" s="91" t="s">
        <v>20</v>
      </c>
      <c r="G288" s="91">
        <v>13</v>
      </c>
      <c r="H288" s="91"/>
      <c r="I288" s="12">
        <v>0</v>
      </c>
      <c r="J288" s="13">
        <v>0</v>
      </c>
      <c r="K288" s="13">
        <v>0</v>
      </c>
      <c r="L288" s="14">
        <f>LOG(I288+([3]Values!$D$8*J288)+([3]Values!$D$9*K288)+(M288*[3]Values!D$10)+(N288*[3]Values!$D$11)+1)</f>
        <v>4.0400731096553195E-3</v>
      </c>
      <c r="M288" s="93">
        <v>1</v>
      </c>
      <c r="N288" s="93">
        <v>0</v>
      </c>
      <c r="O288" s="106" t="s">
        <v>23</v>
      </c>
    </row>
    <row r="289" spans="1:15" ht="12.6">
      <c r="A289" s="115">
        <v>43425</v>
      </c>
      <c r="B289" s="90" t="s">
        <v>512</v>
      </c>
      <c r="C289" s="91" t="s">
        <v>1287</v>
      </c>
      <c r="D289" s="91">
        <v>4.2</v>
      </c>
      <c r="E289" s="91" t="s">
        <v>362</v>
      </c>
      <c r="F289" s="91" t="s">
        <v>20</v>
      </c>
      <c r="G289" s="91">
        <v>12</v>
      </c>
      <c r="H289" s="91"/>
      <c r="I289" s="12">
        <v>0</v>
      </c>
      <c r="J289" s="13">
        <v>0</v>
      </c>
      <c r="K289" s="13"/>
      <c r="L289" s="14">
        <f>LOG(I289+([3]Values!$D$8*J289)+([3]Values!$D$9*K289)+(M289*[3]Values!D$10)+(N289*[3]Values!$D$11)+1)</f>
        <v>5.6977318551954377E-2</v>
      </c>
      <c r="M289" s="116">
        <v>15</v>
      </c>
      <c r="N289" s="93"/>
      <c r="O289" s="106" t="s">
        <v>23</v>
      </c>
    </row>
    <row r="290" spans="1:15" ht="12.3">
      <c r="A290" s="115">
        <v>43426</v>
      </c>
      <c r="B290" s="90" t="s">
        <v>17</v>
      </c>
      <c r="C290" s="91" t="s">
        <v>110</v>
      </c>
      <c r="D290" s="91">
        <v>4.7</v>
      </c>
      <c r="E290" s="91" t="s">
        <v>362</v>
      </c>
      <c r="F290" s="91" t="s">
        <v>20</v>
      </c>
      <c r="G290" s="91">
        <v>20</v>
      </c>
      <c r="H290" s="91"/>
      <c r="I290" s="12">
        <v>0</v>
      </c>
      <c r="J290" s="13">
        <v>1</v>
      </c>
      <c r="K290" s="13"/>
      <c r="L290" s="14">
        <f>LOG(I290+([3]Values!$D$8*J290)+([3]Values!$D$9*K290)+(M290*[3]Values!D$10)+(N290*[3]Values!$D$11)+1)</f>
        <v>9.8658390713159613E-2</v>
      </c>
      <c r="M290" s="93"/>
      <c r="N290" s="93"/>
      <c r="O290" s="106" t="s">
        <v>23</v>
      </c>
    </row>
    <row r="291" spans="1:15" ht="12.6">
      <c r="A291" s="115">
        <v>43428</v>
      </c>
      <c r="B291" s="90" t="s">
        <v>24</v>
      </c>
      <c r="C291" s="91" t="s">
        <v>397</v>
      </c>
      <c r="D291" s="91">
        <v>3.3</v>
      </c>
      <c r="E291" s="91" t="s">
        <v>478</v>
      </c>
      <c r="F291" s="91" t="s">
        <v>20</v>
      </c>
      <c r="G291" s="91"/>
      <c r="H291" s="91"/>
      <c r="I291" s="12">
        <v>0</v>
      </c>
      <c r="J291" s="13">
        <v>0</v>
      </c>
      <c r="K291" s="13">
        <v>0</v>
      </c>
      <c r="L291" s="14">
        <f>LOG(I291+([3]Values!$D$8*J291)+([3]Values!$D$9*K291)+(M291*[3]Values!D$10)+(N291*[3]Values!$D$11)+1)</f>
        <v>5.6977318551954377E-2</v>
      </c>
      <c r="M291" s="116">
        <v>15</v>
      </c>
      <c r="N291" s="93">
        <v>0</v>
      </c>
      <c r="O291" s="106" t="s">
        <v>23</v>
      </c>
    </row>
    <row r="292" spans="1:15" ht="12.6">
      <c r="A292" s="115">
        <v>43428</v>
      </c>
      <c r="B292" s="90" t="s">
        <v>346</v>
      </c>
      <c r="C292" s="91" t="s">
        <v>1288</v>
      </c>
      <c r="D292" s="95">
        <v>5</v>
      </c>
      <c r="E292" s="91" t="s">
        <v>362</v>
      </c>
      <c r="F292" s="91" t="s">
        <v>20</v>
      </c>
      <c r="G292" s="91">
        <v>20</v>
      </c>
      <c r="H292" s="91"/>
      <c r="I292" s="12">
        <v>0</v>
      </c>
      <c r="J292" s="13">
        <v>3</v>
      </c>
      <c r="K292" s="13">
        <v>100</v>
      </c>
      <c r="L292" s="14">
        <f>LOG(I292+([3]Values!$D$8*J292)+([3]Values!$D$9*K292)+(M292*[3]Values!D$10)+(N292*[3]Values!$D$11)+1)</f>
        <v>0.6966796743819087</v>
      </c>
      <c r="M292" s="116">
        <v>42</v>
      </c>
      <c r="N292" s="93">
        <v>31</v>
      </c>
      <c r="O292" s="106" t="s">
        <v>23</v>
      </c>
    </row>
    <row r="293" spans="1:15" ht="12.6">
      <c r="A293" s="115">
        <v>43429</v>
      </c>
      <c r="B293" s="90" t="s">
        <v>172</v>
      </c>
      <c r="C293" s="91" t="s">
        <v>1289</v>
      </c>
      <c r="D293" s="95">
        <v>4.3</v>
      </c>
      <c r="E293" s="91" t="s">
        <v>362</v>
      </c>
      <c r="F293" s="91" t="s">
        <v>20</v>
      </c>
      <c r="G293" s="91"/>
      <c r="H293" s="91"/>
      <c r="I293" s="12">
        <v>0</v>
      </c>
      <c r="J293" s="13">
        <v>0</v>
      </c>
      <c r="K293" s="13">
        <v>0</v>
      </c>
      <c r="L293" s="14">
        <f>LOG(I293+([3]Values!$D$8*J293)+([3]Values!$D$9*K293)+(M293*[3]Values!D$10)+(N293*[3]Values!$D$11)+1)</f>
        <v>4.0400731096553195E-3</v>
      </c>
      <c r="M293" s="116">
        <v>1</v>
      </c>
      <c r="N293" s="93">
        <v>0</v>
      </c>
      <c r="O293" s="106" t="s">
        <v>23</v>
      </c>
    </row>
    <row r="294" spans="1:15" ht="12.3">
      <c r="A294" s="19">
        <v>43429</v>
      </c>
      <c r="B294" s="20" t="s">
        <v>17</v>
      </c>
      <c r="C294" s="20" t="s">
        <v>303</v>
      </c>
      <c r="D294" s="20">
        <v>6.3</v>
      </c>
      <c r="E294" s="20" t="s">
        <v>362</v>
      </c>
      <c r="F294" s="20" t="s">
        <v>20</v>
      </c>
      <c r="G294" s="20"/>
      <c r="H294" s="20"/>
      <c r="I294" s="12">
        <v>0</v>
      </c>
      <c r="J294" s="21">
        <v>971</v>
      </c>
      <c r="K294" s="21">
        <v>2000</v>
      </c>
      <c r="L294" s="22">
        <f>LOG(I294+([3]Values!$D$8*J294)+([3]Values!$D$9*K294)+(M294*[3]Values!D$10)+(N294*[3]Values!$D$11)+1)</f>
        <v>2.5276884172974712</v>
      </c>
      <c r="M294" s="102">
        <v>3500</v>
      </c>
      <c r="N294" s="102">
        <v>600</v>
      </c>
      <c r="O294" s="103" t="s">
        <v>23</v>
      </c>
    </row>
    <row r="295" spans="1:15" ht="12.3">
      <c r="A295" s="19"/>
      <c r="B295" s="20"/>
      <c r="C295" s="20"/>
      <c r="D295" s="20">
        <v>6.3</v>
      </c>
      <c r="E295" s="20"/>
      <c r="F295" s="20"/>
      <c r="G295" s="20"/>
      <c r="H295" s="20"/>
      <c r="I295" s="12">
        <v>2</v>
      </c>
      <c r="J295" s="21">
        <v>102</v>
      </c>
      <c r="K295" s="21"/>
      <c r="L295" s="22">
        <f>LOG(I295+([3]Values!$D$8*J295)+([3]Values!$D$9*K295)+(M295*[3]Values!D$10)+(N295*[3]Values!$D$11)+1)</f>
        <v>1.4626124356347063</v>
      </c>
      <c r="M295" s="102"/>
      <c r="N295" s="102"/>
      <c r="O295" s="103" t="s">
        <v>23</v>
      </c>
    </row>
    <row r="296" spans="1:15" ht="12.6">
      <c r="A296" s="115">
        <v>43430</v>
      </c>
      <c r="B296" s="90" t="s">
        <v>33</v>
      </c>
      <c r="C296" s="91" t="s">
        <v>1290</v>
      </c>
      <c r="D296" s="91">
        <v>4.0999999999999996</v>
      </c>
      <c r="E296" s="91" t="s">
        <v>362</v>
      </c>
      <c r="F296" s="91" t="s">
        <v>20</v>
      </c>
      <c r="G296" s="91"/>
      <c r="H296" s="91"/>
      <c r="I296" s="12">
        <v>0</v>
      </c>
      <c r="J296" s="13">
        <v>0</v>
      </c>
      <c r="K296" s="13">
        <v>0</v>
      </c>
      <c r="L296" s="14">
        <f>LOG(I296+([3]Values!$D$8*J296)+([3]Values!$D$9*K296)+(M296*[3]Values!D$10)+(N296*[3]Values!$D$11)+1)</f>
        <v>1.9834704505085086E-2</v>
      </c>
      <c r="M296" s="116">
        <v>5</v>
      </c>
      <c r="N296" s="93">
        <v>0</v>
      </c>
      <c r="O296" s="106" t="s">
        <v>23</v>
      </c>
    </row>
    <row r="297" spans="1:15" ht="12.3">
      <c r="A297" s="115">
        <v>43432</v>
      </c>
      <c r="B297" s="90" t="s">
        <v>346</v>
      </c>
      <c r="C297" s="91" t="s">
        <v>1288</v>
      </c>
      <c r="D297" s="91">
        <v>4.4000000000000004</v>
      </c>
      <c r="E297" s="91" t="s">
        <v>362</v>
      </c>
      <c r="F297" s="91" t="s">
        <v>206</v>
      </c>
      <c r="G297" s="91"/>
      <c r="H297" s="91"/>
      <c r="I297" s="12">
        <v>0</v>
      </c>
      <c r="J297" s="13">
        <v>2</v>
      </c>
      <c r="K297" s="13">
        <v>0</v>
      </c>
      <c r="L297" s="14">
        <f>LOG(I297+([3]Values!$D$8*J297)+([3]Values!$D$9*K297)+(M297*[3]Values!D$10)+(N297*[3]Values!$D$11)+1)</f>
        <v>0.17900132376844199</v>
      </c>
      <c r="M297" s="93"/>
      <c r="N297" s="93">
        <v>0</v>
      </c>
      <c r="O297" s="106" t="s">
        <v>23</v>
      </c>
    </row>
    <row r="298" spans="1:15" ht="12.3">
      <c r="A298" s="115">
        <v>43432</v>
      </c>
      <c r="B298" s="90" t="s">
        <v>608</v>
      </c>
      <c r="C298" s="91" t="s">
        <v>1291</v>
      </c>
      <c r="D298" s="91">
        <v>4.9000000000000004</v>
      </c>
      <c r="E298" s="91" t="s">
        <v>362</v>
      </c>
      <c r="F298" s="91" t="s">
        <v>20</v>
      </c>
      <c r="G298" s="91">
        <v>22</v>
      </c>
      <c r="H298" s="91"/>
      <c r="I298" s="12">
        <v>0</v>
      </c>
      <c r="J298" s="13">
        <v>9</v>
      </c>
      <c r="K298" s="13"/>
      <c r="L298" s="14">
        <f>LOG(I298+([3]Values!$D$8*J298)+([3]Values!$D$9*K298)+(M298*[3]Values!D$10)+(N298*[3]Values!$D$11)+1)</f>
        <v>0.71543830534976161</v>
      </c>
      <c r="M298" s="93"/>
      <c r="N298" s="93">
        <v>60</v>
      </c>
      <c r="O298" s="106" t="s">
        <v>23</v>
      </c>
    </row>
    <row r="299" spans="1:15" ht="12.6">
      <c r="A299" s="115">
        <v>43434</v>
      </c>
      <c r="B299" s="90" t="s">
        <v>76</v>
      </c>
      <c r="C299" s="91" t="s">
        <v>1292</v>
      </c>
      <c r="D299" s="91">
        <v>3.8</v>
      </c>
      <c r="E299" s="91" t="s">
        <v>362</v>
      </c>
      <c r="F299" s="91" t="s">
        <v>20</v>
      </c>
      <c r="G299" s="91">
        <v>25</v>
      </c>
      <c r="H299" s="91"/>
      <c r="I299" s="12">
        <v>0</v>
      </c>
      <c r="J299" s="13">
        <v>0</v>
      </c>
      <c r="K299" s="13">
        <v>0</v>
      </c>
      <c r="L299" s="14">
        <f>LOG(I299+([3]Values!$D$8*J299)+([3]Values!$D$9*K299)+(M299*[3]Values!D$10)+(N299*[3]Values!$D$11)+1)</f>
        <v>1.9834704505085086E-2</v>
      </c>
      <c r="M299" s="116">
        <v>5</v>
      </c>
      <c r="N299" s="93">
        <v>0</v>
      </c>
      <c r="O299" s="106" t="s">
        <v>23</v>
      </c>
    </row>
    <row r="300" spans="1:15" ht="12.3">
      <c r="A300" s="109">
        <v>43434</v>
      </c>
      <c r="B300" s="90" t="s">
        <v>39</v>
      </c>
      <c r="C300" s="90" t="s">
        <v>1111</v>
      </c>
      <c r="D300" s="100">
        <v>7.1</v>
      </c>
      <c r="E300" s="90" t="s">
        <v>362</v>
      </c>
      <c r="F300" s="90" t="s">
        <v>20</v>
      </c>
      <c r="G300" s="90">
        <v>41</v>
      </c>
      <c r="H300" s="90" t="s">
        <v>363</v>
      </c>
      <c r="I300" s="12">
        <v>0</v>
      </c>
      <c r="J300" s="13">
        <v>117</v>
      </c>
      <c r="K300" s="13"/>
      <c r="L300" s="14">
        <f>LOG(I300+([3]Values!$D$8*J300)+([3]Values!$D$9*K300)+(M300*[3]Values!D$10)+(N300*[3]Values!$D$11)+1)</f>
        <v>1.9836734052657812</v>
      </c>
      <c r="M300" s="97">
        <v>6000</v>
      </c>
      <c r="N300" s="97">
        <v>297</v>
      </c>
      <c r="O300" s="114" t="s">
        <v>23</v>
      </c>
    </row>
    <row r="301" spans="1:15" ht="12.6">
      <c r="A301" s="115">
        <v>43437</v>
      </c>
      <c r="B301" s="90" t="s">
        <v>17</v>
      </c>
      <c r="C301" s="91" t="s">
        <v>1293</v>
      </c>
      <c r="D301" s="91">
        <v>4.0999999999999996</v>
      </c>
      <c r="E301" s="91" t="s">
        <v>362</v>
      </c>
      <c r="F301" s="91" t="s">
        <v>20</v>
      </c>
      <c r="G301" s="91"/>
      <c r="H301" s="91"/>
      <c r="I301" s="12">
        <v>0</v>
      </c>
      <c r="J301" s="13">
        <v>0</v>
      </c>
      <c r="K301" s="13">
        <v>0</v>
      </c>
      <c r="L301" s="14">
        <f>LOG(I301+([3]Values!$D$8*J301)+([3]Values!$D$9*K301)+(M301*[3]Values!D$10)+(N301*[3]Values!$D$11)+1)</f>
        <v>1.9834704505085086E-2</v>
      </c>
      <c r="M301" s="116">
        <v>5</v>
      </c>
      <c r="N301" s="93">
        <v>0</v>
      </c>
      <c r="O301" s="106" t="s">
        <v>23</v>
      </c>
    </row>
    <row r="302" spans="1:15" ht="12.3">
      <c r="A302" s="115">
        <v>43439</v>
      </c>
      <c r="B302" s="90" t="s">
        <v>512</v>
      </c>
      <c r="C302" s="91" t="s">
        <v>1255</v>
      </c>
      <c r="D302" s="90">
        <v>7.5</v>
      </c>
      <c r="E302" s="91" t="s">
        <v>362</v>
      </c>
      <c r="F302" s="91" t="s">
        <v>20</v>
      </c>
      <c r="G302" s="91">
        <v>10</v>
      </c>
      <c r="H302" s="91"/>
      <c r="I302" s="12">
        <v>0</v>
      </c>
      <c r="J302" s="13">
        <v>0</v>
      </c>
      <c r="K302" s="13">
        <v>0</v>
      </c>
      <c r="L302" s="14">
        <f>LOG(I302+([3]Values!$D$8*J302)+([3]Values!$D$9*K302)+(M302*[3]Values!D$10)+(N302*[3]Values!$D$11)+1)</f>
        <v>0</v>
      </c>
      <c r="M302" s="93">
        <v>0</v>
      </c>
      <c r="N302" s="93">
        <v>0</v>
      </c>
      <c r="O302" s="106" t="s">
        <v>1294</v>
      </c>
    </row>
    <row r="303" spans="1:15" ht="12.3">
      <c r="A303" s="115"/>
      <c r="B303" s="90"/>
      <c r="C303" s="91"/>
      <c r="D303" s="90">
        <v>7.5</v>
      </c>
      <c r="E303" s="91"/>
      <c r="F303" s="91"/>
      <c r="G303" s="91"/>
      <c r="H303" s="91"/>
      <c r="I303" s="12">
        <v>0</v>
      </c>
      <c r="J303" s="13">
        <v>0</v>
      </c>
      <c r="K303" s="13">
        <v>8</v>
      </c>
      <c r="L303" s="14">
        <f>LOG(I303+([3]Values!$D$8*J303)+([3]Values!$D$9*K303)+(M303*[3]Values!D$10)+(N303*[3]Values!$D$11)+1)</f>
        <v>0.10495200617128769</v>
      </c>
      <c r="M303" s="93">
        <v>0</v>
      </c>
      <c r="N303" s="93">
        <v>4</v>
      </c>
      <c r="O303" s="106" t="s">
        <v>1294</v>
      </c>
    </row>
    <row r="304" spans="1:15" ht="12.3">
      <c r="A304" s="115">
        <v>43439</v>
      </c>
      <c r="B304" s="90" t="s">
        <v>346</v>
      </c>
      <c r="C304" s="91" t="s">
        <v>1295</v>
      </c>
      <c r="D304" s="91">
        <v>4.5999999999999996</v>
      </c>
      <c r="E304" s="91" t="s">
        <v>362</v>
      </c>
      <c r="F304" s="91" t="s">
        <v>20</v>
      </c>
      <c r="G304" s="91">
        <v>6</v>
      </c>
      <c r="H304" s="91"/>
      <c r="I304" s="12">
        <v>0</v>
      </c>
      <c r="J304" s="13">
        <v>0</v>
      </c>
      <c r="K304" s="13"/>
      <c r="L304" s="14">
        <f>LOG(I304+([3]Values!$D$8*J304)+([3]Values!$D$9*K304)+(M304*[3]Values!D$10)+(N304*[3]Values!$D$11)+1)</f>
        <v>1.9834704505085086E-2</v>
      </c>
      <c r="M304" s="93">
        <v>5</v>
      </c>
      <c r="N304" s="93"/>
      <c r="O304" s="106" t="s">
        <v>23</v>
      </c>
    </row>
    <row r="305" spans="1:15" ht="12.3">
      <c r="A305" s="115">
        <v>43439</v>
      </c>
      <c r="B305" s="90" t="s">
        <v>359</v>
      </c>
      <c r="C305" s="91" t="s">
        <v>1296</v>
      </c>
      <c r="D305" s="91">
        <v>5.4</v>
      </c>
      <c r="E305" s="91" t="s">
        <v>362</v>
      </c>
      <c r="F305" s="91" t="s">
        <v>20</v>
      </c>
      <c r="G305" s="91">
        <v>38</v>
      </c>
      <c r="H305" s="91"/>
      <c r="I305" s="12">
        <v>0</v>
      </c>
      <c r="J305" s="13">
        <v>0</v>
      </c>
      <c r="K305" s="13">
        <v>0</v>
      </c>
      <c r="L305" s="14">
        <f>LOG(I305+([3]Values!$D$8*J305)+([3]Values!$D$9*K305)+(M305*[3]Values!D$10)+(N305*[3]Values!$D$11)+1)</f>
        <v>4.0400731096553195E-3</v>
      </c>
      <c r="M305" s="93">
        <v>1</v>
      </c>
      <c r="N305" s="93">
        <v>0</v>
      </c>
      <c r="O305" s="106" t="s">
        <v>23</v>
      </c>
    </row>
    <row r="306" spans="1:15" ht="12.3">
      <c r="A306" s="115">
        <v>43440</v>
      </c>
      <c r="B306" s="90" t="s">
        <v>44</v>
      </c>
      <c r="C306" s="91" t="s">
        <v>176</v>
      </c>
      <c r="D306" s="91">
        <v>5.3</v>
      </c>
      <c r="E306" s="91" t="s">
        <v>362</v>
      </c>
      <c r="F306" s="91" t="s">
        <v>20</v>
      </c>
      <c r="G306" s="91"/>
      <c r="H306" s="91"/>
      <c r="I306" s="12"/>
      <c r="J306" s="13">
        <v>14</v>
      </c>
      <c r="K306" s="13"/>
      <c r="L306" s="14">
        <f>LOG(I306+([3]Values!$D$8*J306)+([3]Values!$D$9*K306)+(M306*[3]Values!D$10)+(N306*[3]Values!$D$11)+1)</f>
        <v>0.66351033690119732</v>
      </c>
      <c r="M306" s="93">
        <v>4</v>
      </c>
      <c r="N306" s="93"/>
      <c r="O306" s="106" t="s">
        <v>23</v>
      </c>
    </row>
    <row r="307" spans="1:15" ht="12.3">
      <c r="A307" s="115">
        <v>43446</v>
      </c>
      <c r="B307" s="90" t="s">
        <v>570</v>
      </c>
      <c r="C307" s="91" t="s">
        <v>571</v>
      </c>
      <c r="D307" s="91">
        <v>4.9000000000000004</v>
      </c>
      <c r="E307" s="91" t="s">
        <v>362</v>
      </c>
      <c r="F307" s="91" t="s">
        <v>20</v>
      </c>
      <c r="G307" s="91">
        <v>12</v>
      </c>
      <c r="H307" s="91">
        <v>6</v>
      </c>
      <c r="I307" s="12">
        <v>0</v>
      </c>
      <c r="J307" s="13">
        <v>0</v>
      </c>
      <c r="K307" s="13">
        <v>0</v>
      </c>
      <c r="L307" s="14">
        <f>LOG(I307+([3]Values!$D$8*J307)+([3]Values!$D$9*K307)+(M307*[3]Values!D$10)+(N307*[3]Values!$D$11)+1)</f>
        <v>4.0400731096553195E-3</v>
      </c>
      <c r="M307" s="93">
        <v>1</v>
      </c>
      <c r="N307" s="93">
        <v>0</v>
      </c>
      <c r="O307" s="106" t="s">
        <v>23</v>
      </c>
    </row>
    <row r="308" spans="1:15" ht="12.3">
      <c r="A308" s="115">
        <v>43446</v>
      </c>
      <c r="B308" s="90" t="s">
        <v>39</v>
      </c>
      <c r="C308" s="91" t="s">
        <v>99</v>
      </c>
      <c r="D308" s="91">
        <v>4.4000000000000004</v>
      </c>
      <c r="E308" s="91" t="s">
        <v>362</v>
      </c>
      <c r="F308" s="91" t="s">
        <v>20</v>
      </c>
      <c r="G308" s="91">
        <v>9</v>
      </c>
      <c r="H308" s="91" t="s">
        <v>134</v>
      </c>
      <c r="I308" s="12">
        <v>0</v>
      </c>
      <c r="J308" s="13">
        <v>0</v>
      </c>
      <c r="K308" s="13">
        <v>0</v>
      </c>
      <c r="L308" s="14">
        <f>LOG(I308+([3]Values!$D$8*J308)+([3]Values!$D$9*K308)+(M308*[3]Values!D$10)+(N308*[3]Values!$D$11)+1)</f>
        <v>4.0400731096553195E-3</v>
      </c>
      <c r="M308" s="93">
        <v>1</v>
      </c>
      <c r="N308" s="93">
        <v>0</v>
      </c>
      <c r="O308" s="106" t="s">
        <v>23</v>
      </c>
    </row>
    <row r="309" spans="1:15" ht="12.6">
      <c r="A309" s="115">
        <v>43449</v>
      </c>
      <c r="B309" s="90" t="s">
        <v>1251</v>
      </c>
      <c r="C309" s="91" t="s">
        <v>1297</v>
      </c>
      <c r="D309" s="90">
        <v>5.6</v>
      </c>
      <c r="E309" s="91" t="s">
        <v>348</v>
      </c>
      <c r="F309" s="91" t="s">
        <v>1174</v>
      </c>
      <c r="G309" s="91">
        <v>5</v>
      </c>
      <c r="H309" s="91"/>
      <c r="I309" s="12">
        <v>0</v>
      </c>
      <c r="J309" s="13"/>
      <c r="K309" s="13">
        <v>685</v>
      </c>
      <c r="L309" s="14">
        <f>LOG(I309+([3]Values!$D$8*J309)+([3]Values!$D$9*K309)+(M309*[3]Values!D$10)+(N309*[3]Values!$D$11)+1)</f>
        <v>1.1709642139094694</v>
      </c>
      <c r="M309" s="116">
        <v>100</v>
      </c>
      <c r="N309" s="116">
        <v>10</v>
      </c>
      <c r="O309" s="106" t="s">
        <v>23</v>
      </c>
    </row>
    <row r="310" spans="1:15" ht="12.3">
      <c r="A310" s="109">
        <v>43450</v>
      </c>
      <c r="B310" s="90" t="s">
        <v>83</v>
      </c>
      <c r="C310" s="90" t="s">
        <v>150</v>
      </c>
      <c r="D310" s="90">
        <v>5.4</v>
      </c>
      <c r="E310" s="90" t="s">
        <v>362</v>
      </c>
      <c r="F310" s="90" t="s">
        <v>20</v>
      </c>
      <c r="G310" s="90">
        <v>12</v>
      </c>
      <c r="H310" s="90" t="s">
        <v>123</v>
      </c>
      <c r="I310" s="12">
        <v>0</v>
      </c>
      <c r="J310" s="13">
        <v>17</v>
      </c>
      <c r="K310" s="13">
        <v>663</v>
      </c>
      <c r="L310" s="14">
        <f>LOG(I310+([3]Values!$D$8*J310)+([3]Values!$D$9*K310)+(M310*[3]Values!D$10)+(N310*[3]Values!$D$11)+1)</f>
        <v>1.9436876941411259</v>
      </c>
      <c r="M310" s="97">
        <v>6693</v>
      </c>
      <c r="N310" s="97">
        <v>246</v>
      </c>
      <c r="O310" s="114" t="s">
        <v>23</v>
      </c>
    </row>
    <row r="311" spans="1:15" ht="12.3">
      <c r="A311" s="115">
        <v>43450</v>
      </c>
      <c r="B311" s="90" t="s">
        <v>44</v>
      </c>
      <c r="C311" s="91" t="s">
        <v>559</v>
      </c>
      <c r="D311" s="91">
        <v>4.2</v>
      </c>
      <c r="E311" s="91" t="s">
        <v>362</v>
      </c>
      <c r="F311" s="91" t="s">
        <v>20</v>
      </c>
      <c r="G311" s="91"/>
      <c r="H311" s="91"/>
      <c r="I311" s="12">
        <v>0</v>
      </c>
      <c r="J311" s="13">
        <v>0</v>
      </c>
      <c r="K311" s="13">
        <v>0</v>
      </c>
      <c r="L311" s="14">
        <f>LOG(I311+([3]Values!$D$8*J311)+([3]Values!$D$9*K311)+(M311*[3]Values!D$10)+(N311*[3]Values!$D$11)+1)</f>
        <v>8.0429091224550799E-3</v>
      </c>
      <c r="M311" s="93">
        <v>2</v>
      </c>
      <c r="N311" s="93">
        <v>0</v>
      </c>
      <c r="O311" s="106" t="s">
        <v>23</v>
      </c>
    </row>
    <row r="312" spans="1:15" ht="12.6">
      <c r="A312" s="115">
        <v>43451</v>
      </c>
      <c r="B312" s="90" t="s">
        <v>216</v>
      </c>
      <c r="C312" s="91" t="s">
        <v>1114</v>
      </c>
      <c r="D312" s="91">
        <v>4.5</v>
      </c>
      <c r="E312" s="91" t="s">
        <v>362</v>
      </c>
      <c r="F312" s="91" t="s">
        <v>20</v>
      </c>
      <c r="G312" s="91"/>
      <c r="H312" s="91"/>
      <c r="I312" s="12">
        <v>0</v>
      </c>
      <c r="J312" s="13">
        <v>0</v>
      </c>
      <c r="K312" s="13">
        <v>0</v>
      </c>
      <c r="L312" s="14">
        <f>LOG(I312+([3]Values!$D$8*J312)+([3]Values!$D$9*K312)+(M312*[3]Values!D$10)+(N312*[3]Values!$D$11)+1)</f>
        <v>3.8802963825529238E-2</v>
      </c>
      <c r="M312" s="116">
        <v>10</v>
      </c>
      <c r="N312" s="93">
        <v>0</v>
      </c>
      <c r="O312" s="106" t="s">
        <v>23</v>
      </c>
    </row>
    <row r="313" spans="1:15" ht="12.3">
      <c r="A313" s="115">
        <v>43451</v>
      </c>
      <c r="B313" s="90" t="s">
        <v>83</v>
      </c>
      <c r="C313" s="91" t="s">
        <v>871</v>
      </c>
      <c r="D313" s="91">
        <v>2.4</v>
      </c>
      <c r="E313" s="91" t="s">
        <v>362</v>
      </c>
      <c r="F313" s="91" t="s">
        <v>20</v>
      </c>
      <c r="G313" s="91"/>
      <c r="H313" s="91"/>
      <c r="I313" s="12">
        <v>0</v>
      </c>
      <c r="J313" s="13">
        <v>0</v>
      </c>
      <c r="K313" s="13">
        <v>0</v>
      </c>
      <c r="L313" s="14">
        <f>LOG(I313+([3]Values!$D$8*J313)+([3]Values!$D$9*K313)+(M313*[3]Values!D$10)+(N313*[3]Values!$D$11)+1)</f>
        <v>8.0429091224550799E-3</v>
      </c>
      <c r="M313" s="93">
        <v>2</v>
      </c>
      <c r="N313" s="93">
        <v>0</v>
      </c>
      <c r="O313" s="106" t="s">
        <v>23</v>
      </c>
    </row>
    <row r="314" spans="1:15" ht="12.3">
      <c r="A314" s="115">
        <v>43454</v>
      </c>
      <c r="B314" s="90" t="s">
        <v>235</v>
      </c>
      <c r="C314" s="91" t="s">
        <v>236</v>
      </c>
      <c r="D314" s="91">
        <v>3.8</v>
      </c>
      <c r="E314" s="91" t="s">
        <v>362</v>
      </c>
      <c r="F314" s="91" t="s">
        <v>69</v>
      </c>
      <c r="G314" s="91">
        <v>3</v>
      </c>
      <c r="H314" s="91"/>
      <c r="I314" s="12">
        <v>0</v>
      </c>
      <c r="J314" s="13">
        <v>0</v>
      </c>
      <c r="K314" s="13">
        <v>0</v>
      </c>
      <c r="L314" s="14">
        <f>LOG(I314+([3]Values!$D$8*J314)+([3]Values!$D$9*K314)+(M314*[3]Values!D$10)+(N314*[3]Values!$D$11)+1)</f>
        <v>4.0400731096553195E-3</v>
      </c>
      <c r="M314" s="93">
        <v>1</v>
      </c>
      <c r="N314" s="93">
        <v>0</v>
      </c>
      <c r="O314" s="106" t="s">
        <v>23</v>
      </c>
    </row>
    <row r="315" spans="1:15" ht="12.6">
      <c r="A315" s="115">
        <v>43454</v>
      </c>
      <c r="B315" s="90" t="s">
        <v>76</v>
      </c>
      <c r="C315" s="91" t="s">
        <v>322</v>
      </c>
      <c r="D315" s="91">
        <v>3.2</v>
      </c>
      <c r="E315" s="91" t="s">
        <v>362</v>
      </c>
      <c r="F315" s="91" t="s">
        <v>20</v>
      </c>
      <c r="G315" s="91"/>
      <c r="H315" s="91"/>
      <c r="I315" s="12">
        <v>0</v>
      </c>
      <c r="J315" s="13">
        <v>0</v>
      </c>
      <c r="K315" s="13">
        <v>0</v>
      </c>
      <c r="L315" s="14">
        <f>LOG(I315+([3]Values!$D$8*J315)+([3]Values!$D$9*K315)+(M315*[3]Values!D$10)+(N315*[3]Values!$D$11)+1)</f>
        <v>1.9834704505085086E-2</v>
      </c>
      <c r="M315" s="116">
        <v>5</v>
      </c>
      <c r="N315" s="93">
        <v>0</v>
      </c>
      <c r="O315" s="106" t="s">
        <v>23</v>
      </c>
    </row>
    <row r="316" spans="1:15" ht="12.3">
      <c r="A316" s="109">
        <v>43456</v>
      </c>
      <c r="B316" s="90" t="s">
        <v>1142</v>
      </c>
      <c r="C316" s="90"/>
      <c r="D316" s="90">
        <v>5.5</v>
      </c>
      <c r="E316" s="90" t="s">
        <v>362</v>
      </c>
      <c r="F316" s="90" t="s">
        <v>20</v>
      </c>
      <c r="G316" s="90">
        <v>8</v>
      </c>
      <c r="H316" s="90"/>
      <c r="I316" s="12">
        <v>0</v>
      </c>
      <c r="J316" s="13">
        <v>11</v>
      </c>
      <c r="K316" s="18">
        <v>500</v>
      </c>
      <c r="L316" s="14">
        <f>LOG(I316+([3]Values!$D$8*J316)+([3]Values!$D$9*K316)+(M316*[3]Values!D$10)+(N316*[3]Values!$D$11)+1)</f>
        <v>1.2873626510583684</v>
      </c>
      <c r="M316" s="97">
        <v>319</v>
      </c>
      <c r="N316" s="97">
        <v>108</v>
      </c>
      <c r="O316" s="114" t="s">
        <v>23</v>
      </c>
    </row>
    <row r="317" spans="1:15" ht="12.3">
      <c r="A317" s="109"/>
      <c r="B317" s="90"/>
      <c r="C317" s="90"/>
      <c r="D317" s="90"/>
      <c r="E317" s="90"/>
      <c r="F317" s="90"/>
      <c r="G317" s="90"/>
      <c r="H317" s="90"/>
      <c r="I317" s="12"/>
      <c r="J317" s="13"/>
      <c r="K317" s="13"/>
      <c r="L317" s="14">
        <f>LOG(I317+([3]Values!$D$8*J317)+([3]Values!$D$9*K317)+(M317*[3]Values!D$10)+(N317*[3]Values!$D$11)+1)</f>
        <v>0.35511390733651949</v>
      </c>
      <c r="M317" s="97"/>
      <c r="N317" s="97">
        <v>40</v>
      </c>
      <c r="O317" s="114" t="s">
        <v>23</v>
      </c>
    </row>
    <row r="318" spans="1:15" ht="12.3">
      <c r="A318" s="115">
        <v>43457</v>
      </c>
      <c r="B318" s="90" t="s">
        <v>83</v>
      </c>
      <c r="C318" s="91" t="s">
        <v>1298</v>
      </c>
      <c r="D318" s="90">
        <v>5.8</v>
      </c>
      <c r="E318" s="91" t="s">
        <v>362</v>
      </c>
      <c r="F318" s="91" t="s">
        <v>20</v>
      </c>
      <c r="G318" s="91"/>
      <c r="H318" s="91"/>
      <c r="I318" s="12">
        <v>0</v>
      </c>
      <c r="J318" s="13"/>
      <c r="K318" s="13"/>
      <c r="L318" s="14">
        <f>LOG(I318+([3]Values!$D$8*J318)+([3]Values!$D$9*K318)+(M318*[3]Values!D$10)+(N318*[3]Values!$D$11)+1)</f>
        <v>1.5939572029432809E-2</v>
      </c>
      <c r="M318" s="93">
        <v>4</v>
      </c>
      <c r="N318" s="93"/>
      <c r="O318" s="106" t="s">
        <v>23</v>
      </c>
    </row>
    <row r="319" spans="1:15" ht="12.3">
      <c r="A319" s="109">
        <v>43460</v>
      </c>
      <c r="B319" s="90" t="s">
        <v>199</v>
      </c>
      <c r="C319" s="90" t="s">
        <v>1270</v>
      </c>
      <c r="D319" s="90">
        <v>4.9000000000000004</v>
      </c>
      <c r="E319" s="90" t="s">
        <v>362</v>
      </c>
      <c r="F319" s="90" t="s">
        <v>1174</v>
      </c>
      <c r="G319" s="90">
        <v>1</v>
      </c>
      <c r="H319" s="90" t="s">
        <v>363</v>
      </c>
      <c r="I319" s="12">
        <v>0</v>
      </c>
      <c r="J319" s="13">
        <v>28</v>
      </c>
      <c r="K319" s="13">
        <v>1096</v>
      </c>
      <c r="L319" s="14">
        <f>LOG(I319+([3]Values!$D$8*J319)+([3]Values!$D$9*K319)+(M319*[3]Values!D$10)+(N319*[3]Values!$D$11)+1)</f>
        <v>1.9609955434708317</v>
      </c>
      <c r="M319" s="97">
        <v>5048</v>
      </c>
      <c r="N319" s="117">
        <v>505</v>
      </c>
      <c r="O319" s="114" t="s">
        <v>23</v>
      </c>
    </row>
    <row r="320" spans="1:15" ht="12.6">
      <c r="A320" s="115">
        <v>43461</v>
      </c>
      <c r="B320" s="90" t="s">
        <v>346</v>
      </c>
      <c r="C320" s="91" t="s">
        <v>1180</v>
      </c>
      <c r="D320" s="90">
        <v>5.5</v>
      </c>
      <c r="E320" s="91" t="s">
        <v>362</v>
      </c>
      <c r="F320" s="91" t="s">
        <v>20</v>
      </c>
      <c r="G320" s="91">
        <v>10</v>
      </c>
      <c r="H320" s="91" t="s">
        <v>1299</v>
      </c>
      <c r="I320" s="12"/>
      <c r="J320" s="13"/>
      <c r="K320" s="13"/>
      <c r="L320" s="14">
        <f>LOG(I320+([3]Values!$D$8*J320)+([3]Values!$D$9*K320)+(M320*[3]Values!D$10)+(N320*[3]Values!$D$11)+1)</f>
        <v>0.28659154033067025</v>
      </c>
      <c r="M320" s="116">
        <v>100</v>
      </c>
      <c r="N320" s="93"/>
      <c r="O320" s="114" t="s">
        <v>23</v>
      </c>
    </row>
    <row r="321" spans="1:15" ht="12.6">
      <c r="A321" s="115">
        <v>43462</v>
      </c>
      <c r="B321" s="90" t="s">
        <v>44</v>
      </c>
      <c r="C321" s="91" t="s">
        <v>1300</v>
      </c>
      <c r="D321" s="91">
        <v>5.7</v>
      </c>
      <c r="E321" s="91" t="s">
        <v>362</v>
      </c>
      <c r="F321" s="91" t="s">
        <v>20</v>
      </c>
      <c r="G321" s="91">
        <v>41</v>
      </c>
      <c r="H321" s="91"/>
      <c r="I321" s="12">
        <v>0</v>
      </c>
      <c r="J321" s="13">
        <v>0</v>
      </c>
      <c r="K321" s="13">
        <v>0</v>
      </c>
      <c r="L321" s="14">
        <f>LOG(I321+([3]Values!$D$8*J321)+([3]Values!$D$9*K321)+(M321*[3]Values!D$10)+(N321*[3]Values!$D$11)+1)</f>
        <v>1.9834704505085086E-2</v>
      </c>
      <c r="M321" s="116">
        <v>5</v>
      </c>
      <c r="N321" s="93">
        <v>0</v>
      </c>
      <c r="O321" s="106" t="s">
        <v>23</v>
      </c>
    </row>
    <row r="322" spans="1:15" ht="12.3">
      <c r="A322" s="115">
        <v>43463</v>
      </c>
      <c r="B322" s="90" t="s">
        <v>33</v>
      </c>
      <c r="C322" s="91" t="s">
        <v>1301</v>
      </c>
      <c r="D322" s="91">
        <v>4.2</v>
      </c>
      <c r="E322" s="91" t="s">
        <v>362</v>
      </c>
      <c r="F322" s="91"/>
      <c r="G322" s="91"/>
      <c r="H322" s="91"/>
      <c r="I322" s="12"/>
      <c r="J322" s="13"/>
      <c r="K322" s="13"/>
      <c r="L322" s="14">
        <f>LOG(I322+([3]Values!$D$8*J322)+([3]Values!$D$9*K322)+(M322*[3]Values!D$10)+(N322*[3]Values!$D$11)+1)</f>
        <v>1.2009188198087781E-2</v>
      </c>
      <c r="M322" s="93">
        <v>3</v>
      </c>
      <c r="N322" s="93"/>
      <c r="O322" s="106" t="s">
        <v>23</v>
      </c>
    </row>
    <row r="323" spans="1:15" ht="12.3">
      <c r="A323" s="115">
        <v>43464</v>
      </c>
      <c r="B323" s="90" t="s">
        <v>445</v>
      </c>
      <c r="C323" s="91" t="s">
        <v>1302</v>
      </c>
      <c r="D323" s="91">
        <v>4.9000000000000004</v>
      </c>
      <c r="E323" s="91" t="s">
        <v>362</v>
      </c>
      <c r="F323" s="91" t="s">
        <v>20</v>
      </c>
      <c r="G323" s="91"/>
      <c r="H323" s="91"/>
      <c r="I323" s="12">
        <v>0</v>
      </c>
      <c r="J323" s="13">
        <v>0</v>
      </c>
      <c r="K323" s="13">
        <v>0</v>
      </c>
      <c r="L323" s="14">
        <f>LOG(I323+([3]Values!$D$8*J323)+([3]Values!$D$9*K323)+(M323*[3]Values!D$10)+(N323*[3]Values!$D$11)+1)</f>
        <v>4.0400731096553195E-3</v>
      </c>
      <c r="M323" s="93">
        <v>1</v>
      </c>
      <c r="N323" s="93">
        <v>0</v>
      </c>
      <c r="O323" s="106" t="s">
        <v>23</v>
      </c>
    </row>
    <row r="324" spans="1:15" ht="12.3">
      <c r="A324" s="85"/>
      <c r="B324" s="85"/>
      <c r="C324" s="85"/>
      <c r="D324" s="85"/>
      <c r="E324" s="85"/>
      <c r="F324" s="85"/>
      <c r="G324" s="85"/>
      <c r="H324" s="85"/>
      <c r="I324" s="12"/>
      <c r="J324" s="13"/>
      <c r="K324" s="13"/>
      <c r="L324" s="14"/>
      <c r="M324" s="93"/>
      <c r="N324" s="93"/>
      <c r="O324" s="106"/>
    </row>
  </sheetData>
  <mergeCells count="1">
    <mergeCell ref="A324:H324"/>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2496B-2F58-4169-BB93-1F7E8161968C}">
  <sheetPr>
    <outlinePr summaryBelow="0" summaryRight="0"/>
  </sheetPr>
  <dimension ref="A1:Q330"/>
  <sheetViews>
    <sheetView tabSelected="1" topLeftCell="K1" workbookViewId="0">
      <pane ySplit="1" topLeftCell="A2" activePane="bottomLeft" state="frozen"/>
      <selection pane="bottomLeft" activeCell="D1" sqref="D1"/>
    </sheetView>
    <sheetView topLeftCell="M1" workbookViewId="1">
      <selection activeCell="S12" sqref="S12"/>
    </sheetView>
  </sheetViews>
  <sheetFormatPr defaultColWidth="13.68359375" defaultRowHeight="15.75" customHeight="1"/>
  <cols>
    <col min="1" max="1" width="10.15625" style="8" customWidth="1"/>
    <col min="2" max="2" width="17.47265625" style="8" customWidth="1"/>
    <col min="3" max="3" width="22.578125" style="8" customWidth="1"/>
    <col min="4" max="4" width="4.83984375" style="8" customWidth="1"/>
    <col min="5" max="5" width="13.26171875" style="8" customWidth="1"/>
    <col min="6" max="6" width="19.89453125" style="8" customWidth="1"/>
    <col min="7" max="7" width="7.15625" style="8" customWidth="1"/>
    <col min="8" max="8" width="10.83984375" style="8" customWidth="1"/>
    <col min="9" max="10" width="7.41796875" style="8" customWidth="1"/>
    <col min="11" max="11" width="8.62890625" style="8" customWidth="1"/>
    <col min="12" max="12" width="7.3125" style="8" customWidth="1"/>
    <col min="13" max="13" width="9.20703125" style="8" customWidth="1"/>
    <col min="14" max="14" width="9.47265625" style="8" customWidth="1"/>
    <col min="15" max="15" width="10" style="8" customWidth="1"/>
    <col min="16" max="16" width="10.83984375" style="8" customWidth="1"/>
    <col min="17" max="17" width="8.1015625" style="8" customWidth="1"/>
    <col min="18" max="16384" width="13.68359375" style="8"/>
  </cols>
  <sheetData>
    <row r="1" spans="1:17" ht="32.1" customHeight="1">
      <c r="A1" s="1" t="s">
        <v>0</v>
      </c>
      <c r="B1" s="2" t="s">
        <v>276</v>
      </c>
      <c r="C1" s="2" t="s">
        <v>2</v>
      </c>
      <c r="D1" s="2" t="s">
        <v>1078</v>
      </c>
      <c r="E1" s="2" t="s">
        <v>3</v>
      </c>
      <c r="F1" s="2" t="s">
        <v>4</v>
      </c>
      <c r="G1" s="3" t="s">
        <v>5</v>
      </c>
      <c r="H1" s="3" t="s">
        <v>6</v>
      </c>
      <c r="I1" s="3" t="s">
        <v>7</v>
      </c>
      <c r="J1" s="3" t="s">
        <v>8</v>
      </c>
      <c r="K1" s="4" t="s">
        <v>9</v>
      </c>
      <c r="L1" s="5" t="s">
        <v>10</v>
      </c>
      <c r="M1" s="5" t="s">
        <v>11</v>
      </c>
      <c r="N1" s="6" t="s">
        <v>12</v>
      </c>
      <c r="O1" s="3" t="s">
        <v>13</v>
      </c>
      <c r="P1" s="3" t="s">
        <v>14</v>
      </c>
      <c r="Q1" s="7" t="s">
        <v>15</v>
      </c>
    </row>
    <row r="2" spans="1:17" ht="15.75" customHeight="1">
      <c r="A2" s="37">
        <v>43466</v>
      </c>
      <c r="B2" s="36" t="s">
        <v>199</v>
      </c>
      <c r="C2" s="36" t="s">
        <v>277</v>
      </c>
      <c r="D2" s="38" t="s">
        <v>278</v>
      </c>
      <c r="E2" s="36" t="s">
        <v>19</v>
      </c>
      <c r="F2" s="36" t="s">
        <v>20</v>
      </c>
      <c r="G2" s="36">
        <v>17</v>
      </c>
      <c r="H2" s="36" t="s">
        <v>134</v>
      </c>
      <c r="I2" s="36" t="s">
        <v>279</v>
      </c>
      <c r="J2" s="36" t="s">
        <v>280</v>
      </c>
      <c r="K2" s="4">
        <v>0</v>
      </c>
      <c r="L2" s="5">
        <v>0</v>
      </c>
      <c r="M2" s="5">
        <v>0</v>
      </c>
      <c r="N2" s="39">
        <f>LOG(K2+([2]Values!$D$8*L2)+([2]Values!$D$9*M2)+(O2*[2]Values!D$10)+(P2*[2]Values!$D$11)+1)</f>
        <v>2.7151092211299476E-2</v>
      </c>
      <c r="O2" s="40">
        <v>7</v>
      </c>
      <c r="P2" s="40">
        <v>0</v>
      </c>
      <c r="Q2" s="41" t="s">
        <v>23</v>
      </c>
    </row>
    <row r="3" spans="1:17" ht="15.75" customHeight="1">
      <c r="A3" s="37">
        <v>43468</v>
      </c>
      <c r="B3" s="36" t="s">
        <v>33</v>
      </c>
      <c r="C3" s="36" t="s">
        <v>281</v>
      </c>
      <c r="D3" s="38" t="s">
        <v>282</v>
      </c>
      <c r="E3" s="36" t="s">
        <v>19</v>
      </c>
      <c r="F3" s="36" t="s">
        <v>20</v>
      </c>
      <c r="G3" s="36">
        <v>5</v>
      </c>
      <c r="H3" s="36"/>
      <c r="I3" s="36" t="s">
        <v>283</v>
      </c>
      <c r="J3" s="36" t="s">
        <v>284</v>
      </c>
      <c r="K3" s="4">
        <v>0</v>
      </c>
      <c r="L3" s="5">
        <v>0</v>
      </c>
      <c r="M3" s="5">
        <v>0</v>
      </c>
      <c r="N3" s="39">
        <f>LOG(K3+([2]Values!$D$8*L3)+([2]Values!$D$9*M3)+(O3*[2]Values!D$10)+(P3*[2]Values!$D$11)+1)</f>
        <v>3.0894879830772423E-2</v>
      </c>
      <c r="O3" s="40">
        <v>8</v>
      </c>
      <c r="P3" s="40">
        <v>0</v>
      </c>
      <c r="Q3" s="41" t="s">
        <v>23</v>
      </c>
    </row>
    <row r="4" spans="1:17" ht="15.75" customHeight="1">
      <c r="A4" s="37">
        <v>43468</v>
      </c>
      <c r="B4" s="36" t="s">
        <v>83</v>
      </c>
      <c r="C4" s="36" t="s">
        <v>150</v>
      </c>
      <c r="D4" s="38" t="s">
        <v>285</v>
      </c>
      <c r="E4" s="36" t="s">
        <v>206</v>
      </c>
      <c r="F4" s="36" t="s">
        <v>20</v>
      </c>
      <c r="G4" s="36">
        <v>15</v>
      </c>
      <c r="H4" s="36" t="s">
        <v>123</v>
      </c>
      <c r="I4" s="36" t="s">
        <v>286</v>
      </c>
      <c r="J4" s="36" t="s">
        <v>287</v>
      </c>
      <c r="K4" s="4">
        <v>0</v>
      </c>
      <c r="L4" s="5">
        <v>1</v>
      </c>
      <c r="M4" s="5">
        <v>251</v>
      </c>
      <c r="N4" s="39">
        <f>LOG(K4+([2]Values!$D$8*L4)+([2]Values!$D$9*M4)+(O4*[2]Values!D$10)+(P4*[2]Values!$D$11)+1)</f>
        <v>1.1509044786369118</v>
      </c>
      <c r="O4" s="40">
        <v>753</v>
      </c>
      <c r="P4" s="40">
        <v>44</v>
      </c>
      <c r="Q4" s="41" t="s">
        <v>23</v>
      </c>
    </row>
    <row r="5" spans="1:17" ht="15.75" customHeight="1">
      <c r="A5" s="37">
        <v>43468</v>
      </c>
      <c r="B5" s="36" t="s">
        <v>258</v>
      </c>
      <c r="C5" s="36" t="s">
        <v>288</v>
      </c>
      <c r="D5" s="38" t="s">
        <v>78</v>
      </c>
      <c r="E5" s="36" t="s">
        <v>206</v>
      </c>
      <c r="F5" s="36" t="s">
        <v>20</v>
      </c>
      <c r="G5" s="36">
        <v>10</v>
      </c>
      <c r="H5" s="36" t="s">
        <v>289</v>
      </c>
      <c r="I5" s="36" t="s">
        <v>290</v>
      </c>
      <c r="J5" s="36" t="s">
        <v>291</v>
      </c>
      <c r="K5" s="4">
        <v>0</v>
      </c>
      <c r="L5" s="5">
        <v>3</v>
      </c>
      <c r="M5" s="5">
        <v>0</v>
      </c>
      <c r="N5" s="39">
        <f>LOG(K5+([2]Values!$D$8*L5)+([2]Values!$D$9*M5)+(O5*[2]Values!D$10)+(P5*[2]Values!$D$11)+1)</f>
        <v>0.26122516064623869</v>
      </c>
      <c r="O5" s="42">
        <v>7</v>
      </c>
      <c r="P5" s="40">
        <v>0</v>
      </c>
      <c r="Q5" s="41" t="s">
        <v>23</v>
      </c>
    </row>
    <row r="6" spans="1:17" ht="15.75" customHeight="1">
      <c r="A6" s="37">
        <v>43469</v>
      </c>
      <c r="B6" s="36" t="s">
        <v>292</v>
      </c>
      <c r="C6" s="36" t="s">
        <v>293</v>
      </c>
      <c r="D6" s="38" t="s">
        <v>294</v>
      </c>
      <c r="E6" s="36" t="s">
        <v>19</v>
      </c>
      <c r="F6" s="36" t="s">
        <v>20</v>
      </c>
      <c r="G6" s="36">
        <v>28</v>
      </c>
      <c r="H6" s="36"/>
      <c r="I6" s="36" t="s">
        <v>295</v>
      </c>
      <c r="J6" s="36" t="s">
        <v>296</v>
      </c>
      <c r="K6" s="4">
        <v>0</v>
      </c>
      <c r="L6" s="5">
        <v>0</v>
      </c>
      <c r="M6" s="5">
        <v>0</v>
      </c>
      <c r="N6" s="39">
        <f>LOG(K6+([2]Values!$D$8*L6)+([2]Values!$D$9*M6)+(O6*[2]Values!D$10)+(P6*[2]Values!$D$11)+1)</f>
        <v>1.9565284656210144E-2</v>
      </c>
      <c r="O6" s="40">
        <v>5</v>
      </c>
      <c r="P6" s="40">
        <v>0</v>
      </c>
      <c r="Q6" s="41" t="s">
        <v>23</v>
      </c>
    </row>
    <row r="7" spans="1:17" ht="15.75" customHeight="1">
      <c r="A7" s="37">
        <v>43470</v>
      </c>
      <c r="B7" s="36" t="s">
        <v>33</v>
      </c>
      <c r="C7" s="36" t="s">
        <v>281</v>
      </c>
      <c r="D7" s="38" t="s">
        <v>297</v>
      </c>
      <c r="E7" s="36" t="s">
        <v>19</v>
      </c>
      <c r="F7" s="36" t="s">
        <v>20</v>
      </c>
      <c r="G7" s="36">
        <v>2</v>
      </c>
      <c r="H7" s="36"/>
      <c r="I7" s="36" t="s">
        <v>298</v>
      </c>
      <c r="J7" s="36" t="s">
        <v>299</v>
      </c>
      <c r="K7" s="4">
        <v>0</v>
      </c>
      <c r="L7" s="5">
        <v>0</v>
      </c>
      <c r="M7" s="43">
        <v>0</v>
      </c>
      <c r="N7" s="39">
        <f>LOG(K7+([2]Values!$D$8*L7)+([2]Values!$D$9*M7)+(O7*[2]Values!D$10)+(P7*[2]Values!$D$11)+1)</f>
        <v>2.3374750854863541E-2</v>
      </c>
      <c r="O7" s="40">
        <v>6</v>
      </c>
      <c r="P7" s="40">
        <v>0</v>
      </c>
      <c r="Q7" s="41" t="s">
        <v>23</v>
      </c>
    </row>
    <row r="8" spans="1:17" ht="15.75" customHeight="1">
      <c r="A8" s="37">
        <v>43471</v>
      </c>
      <c r="B8" s="36" t="s">
        <v>72</v>
      </c>
      <c r="C8" s="36" t="s">
        <v>300</v>
      </c>
      <c r="D8" s="38" t="s">
        <v>78</v>
      </c>
      <c r="E8" s="36" t="s">
        <v>19</v>
      </c>
      <c r="F8" s="36" t="s">
        <v>20</v>
      </c>
      <c r="G8" s="36">
        <v>18</v>
      </c>
      <c r="H8" s="36"/>
      <c r="I8" s="36" t="s">
        <v>301</v>
      </c>
      <c r="J8" s="36" t="s">
        <v>302</v>
      </c>
      <c r="K8" s="4">
        <v>0</v>
      </c>
      <c r="L8" s="5">
        <v>0</v>
      </c>
      <c r="M8" s="43">
        <v>50</v>
      </c>
      <c r="N8" s="39">
        <f>LOG(K8+([2]Values!$D$8*L8)+([2]Values!$D$9*M8)+(O8*[2]Values!D$10)+(P8*[2]Values!$D$11)+1)</f>
        <v>0.32807870144323681</v>
      </c>
      <c r="O8" s="40">
        <v>23</v>
      </c>
      <c r="P8" s="40">
        <v>0</v>
      </c>
      <c r="Q8" s="41" t="s">
        <v>23</v>
      </c>
    </row>
    <row r="9" spans="1:17" ht="15.75" customHeight="1">
      <c r="A9" s="44">
        <v>43471</v>
      </c>
      <c r="B9" s="45" t="s">
        <v>17</v>
      </c>
      <c r="C9" s="45" t="s">
        <v>303</v>
      </c>
      <c r="D9" s="46" t="s">
        <v>304</v>
      </c>
      <c r="E9" s="45" t="s">
        <v>206</v>
      </c>
      <c r="F9" s="45" t="s">
        <v>20</v>
      </c>
      <c r="G9" s="45">
        <v>9</v>
      </c>
      <c r="H9" s="45"/>
      <c r="I9" s="45" t="s">
        <v>305</v>
      </c>
      <c r="J9" s="45" t="s">
        <v>306</v>
      </c>
      <c r="K9" s="4">
        <v>1</v>
      </c>
      <c r="L9" s="47">
        <v>74</v>
      </c>
      <c r="M9" s="47">
        <v>0</v>
      </c>
      <c r="N9" s="48">
        <f>LOG(K9+([2]Values!$D$8*L9)+([2]Values!$D$9*M9)+(O9*[2]Values!D$10)+(P9*[2]Values!$D$11)+1)</f>
        <v>1.5931435144063939</v>
      </c>
      <c r="O9" s="45">
        <v>2000</v>
      </c>
      <c r="P9" s="45"/>
      <c r="Q9" s="49" t="s">
        <v>23</v>
      </c>
    </row>
    <row r="10" spans="1:17" ht="15.75" customHeight="1">
      <c r="A10" s="37">
        <v>43471</v>
      </c>
      <c r="B10" s="36" t="s">
        <v>44</v>
      </c>
      <c r="C10" s="36" t="s">
        <v>307</v>
      </c>
      <c r="D10" s="50" t="s">
        <v>308</v>
      </c>
      <c r="E10" s="36" t="s">
        <v>19</v>
      </c>
      <c r="F10" s="36" t="s">
        <v>20</v>
      </c>
      <c r="G10" s="36">
        <v>31</v>
      </c>
      <c r="H10" s="36" t="s">
        <v>35</v>
      </c>
      <c r="I10" s="36" t="s">
        <v>309</v>
      </c>
      <c r="J10" s="36" t="s">
        <v>310</v>
      </c>
      <c r="K10" s="4">
        <v>0</v>
      </c>
      <c r="L10" s="5">
        <v>0</v>
      </c>
      <c r="M10" s="5">
        <v>0</v>
      </c>
      <c r="N10" s="39">
        <f>LOG(K10+([2]Values!$D$8*L10)+([2]Values!$D$9*M10)+(O10*[2]Values!D$10)+(P10*[2]Values!$D$11)+1)</f>
        <v>0</v>
      </c>
      <c r="O10" s="40">
        <v>0</v>
      </c>
      <c r="P10" s="40">
        <v>0</v>
      </c>
      <c r="Q10" s="41" t="s">
        <v>311</v>
      </c>
    </row>
    <row r="11" spans="1:17" ht="15.75" customHeight="1">
      <c r="A11" s="37">
        <v>43473</v>
      </c>
      <c r="B11" s="36" t="s">
        <v>44</v>
      </c>
      <c r="C11" s="36" t="s">
        <v>57</v>
      </c>
      <c r="D11" s="38" t="s">
        <v>312</v>
      </c>
      <c r="E11" s="36" t="s">
        <v>19</v>
      </c>
      <c r="F11" s="36" t="s">
        <v>20</v>
      </c>
      <c r="G11" s="36"/>
      <c r="H11" s="36"/>
      <c r="I11" s="36" t="s">
        <v>313</v>
      </c>
      <c r="J11" s="36" t="s">
        <v>314</v>
      </c>
      <c r="K11" s="4">
        <v>0</v>
      </c>
      <c r="L11" s="5">
        <v>0</v>
      </c>
      <c r="M11" s="5">
        <v>5</v>
      </c>
      <c r="N11" s="39">
        <f>LOG(K11+([2]Values!$D$8*L11)+([2]Values!$D$9*M11)+(O11*[2]Values!D$10)+(P11*[2]Values!$D$11)+1)</f>
        <v>4.1736601758720432E-2</v>
      </c>
      <c r="O11" s="40">
        <v>1</v>
      </c>
      <c r="P11" s="40">
        <v>0</v>
      </c>
      <c r="Q11" s="41" t="s">
        <v>23</v>
      </c>
    </row>
    <row r="12" spans="1:17" ht="15.75" customHeight="1">
      <c r="A12" s="37">
        <v>43473</v>
      </c>
      <c r="B12" s="36" t="s">
        <v>72</v>
      </c>
      <c r="C12" s="36" t="s">
        <v>315</v>
      </c>
      <c r="D12" s="38" t="s">
        <v>304</v>
      </c>
      <c r="E12" s="36" t="s">
        <v>19</v>
      </c>
      <c r="F12" s="36" t="s">
        <v>20</v>
      </c>
      <c r="G12" s="36">
        <v>12</v>
      </c>
      <c r="H12" s="36"/>
      <c r="I12" s="36" t="s">
        <v>316</v>
      </c>
      <c r="J12" s="36">
        <v>-74</v>
      </c>
      <c r="K12" s="4">
        <v>0</v>
      </c>
      <c r="L12" s="5">
        <v>0</v>
      </c>
      <c r="M12" s="5"/>
      <c r="N12" s="39">
        <f>LOG(K12+([2]Values!$D$8*L12)+([2]Values!$D$9*M12)+(O12*[2]Values!D$10)+(P12*[2]Values!$D$11)+1)</f>
        <v>3.9842071266415419E-3</v>
      </c>
      <c r="O12" s="40">
        <v>1</v>
      </c>
      <c r="P12" s="40"/>
      <c r="Q12" s="41" t="s">
        <v>23</v>
      </c>
    </row>
    <row r="13" spans="1:17" ht="15.75" customHeight="1">
      <c r="A13" s="37">
        <v>43474</v>
      </c>
      <c r="B13" s="36" t="s">
        <v>317</v>
      </c>
      <c r="C13" s="36" t="s">
        <v>318</v>
      </c>
      <c r="D13" s="38" t="s">
        <v>319</v>
      </c>
      <c r="E13" s="36" t="s">
        <v>19</v>
      </c>
      <c r="F13" s="36" t="s">
        <v>20</v>
      </c>
      <c r="G13" s="36"/>
      <c r="H13" s="36"/>
      <c r="I13" s="36" t="s">
        <v>320</v>
      </c>
      <c r="J13" s="36" t="s">
        <v>321</v>
      </c>
      <c r="K13" s="4">
        <v>0</v>
      </c>
      <c r="L13" s="5">
        <v>0</v>
      </c>
      <c r="M13" s="5">
        <v>0</v>
      </c>
      <c r="N13" s="39">
        <f>LOG(K13+([2]Values!$D$8*L13)+([2]Values!$D$9*M13)+(O13*[2]Values!D$10)+(P13*[2]Values!$D$11)+1)</f>
        <v>3.9842071266415419E-3</v>
      </c>
      <c r="O13" s="40">
        <v>1</v>
      </c>
      <c r="P13" s="40">
        <v>0</v>
      </c>
      <c r="Q13" s="41" t="s">
        <v>23</v>
      </c>
    </row>
    <row r="14" spans="1:17" ht="15.75" customHeight="1">
      <c r="A14" s="37">
        <v>43474</v>
      </c>
      <c r="B14" s="36" t="s">
        <v>76</v>
      </c>
      <c r="C14" s="36" t="s">
        <v>322</v>
      </c>
      <c r="D14" s="38" t="s">
        <v>278</v>
      </c>
      <c r="E14" s="36" t="s">
        <v>19</v>
      </c>
      <c r="F14" s="36" t="s">
        <v>20</v>
      </c>
      <c r="G14" s="36">
        <v>12</v>
      </c>
      <c r="H14" s="36"/>
      <c r="I14" s="51">
        <v>-38505</v>
      </c>
      <c r="J14" s="51">
        <v>-68908</v>
      </c>
      <c r="K14" s="4">
        <v>0</v>
      </c>
      <c r="L14" s="5">
        <v>0</v>
      </c>
      <c r="M14" s="5">
        <v>0</v>
      </c>
      <c r="N14" s="39">
        <f>LOG(K14+([2]Values!$D$8*L14)+([2]Values!$D$9*M14)+(O14*[2]Values!D$10)+(P14*[2]Values!$D$11)+1)</f>
        <v>3.8287005558778897E-2</v>
      </c>
      <c r="O14" s="42">
        <v>10</v>
      </c>
      <c r="P14" s="40">
        <v>0</v>
      </c>
      <c r="Q14" s="41" t="s">
        <v>23</v>
      </c>
    </row>
    <row r="15" spans="1:17" ht="15.75" customHeight="1">
      <c r="A15" s="52">
        <v>43475</v>
      </c>
      <c r="B15" s="53" t="s">
        <v>83</v>
      </c>
      <c r="C15" s="53" t="s">
        <v>323</v>
      </c>
      <c r="D15" s="54" t="s">
        <v>282</v>
      </c>
      <c r="E15" s="53" t="s">
        <v>19</v>
      </c>
      <c r="F15" s="53" t="s">
        <v>20</v>
      </c>
      <c r="G15" s="53">
        <v>10</v>
      </c>
      <c r="H15" s="53"/>
      <c r="I15" s="53" t="s">
        <v>324</v>
      </c>
      <c r="J15" s="53" t="s">
        <v>325</v>
      </c>
      <c r="K15" s="4">
        <v>0</v>
      </c>
      <c r="L15" s="5">
        <v>0</v>
      </c>
      <c r="M15" s="5">
        <v>0</v>
      </c>
      <c r="N15" s="39">
        <f>LOG(K15+([2]Values!$D$8*L15)+([2]Values!$D$9*M15)+(O15*[2]Values!D$10)+(P15*[2]Values!$D$11)+1)</f>
        <v>0.54262256468322367</v>
      </c>
      <c r="O15" s="42">
        <v>270</v>
      </c>
      <c r="P15" s="40">
        <v>0</v>
      </c>
      <c r="Q15" s="41" t="s">
        <v>23</v>
      </c>
    </row>
    <row r="16" spans="1:17" ht="15.75" customHeight="1">
      <c r="A16" s="52">
        <v>43476</v>
      </c>
      <c r="B16" s="53" t="s">
        <v>24</v>
      </c>
      <c r="C16" s="53" t="s">
        <v>191</v>
      </c>
      <c r="D16" s="55" t="s">
        <v>326</v>
      </c>
      <c r="E16" s="53" t="s">
        <v>19</v>
      </c>
      <c r="F16" s="53" t="s">
        <v>20</v>
      </c>
      <c r="G16" s="53"/>
      <c r="H16" s="53"/>
      <c r="I16" s="53" t="s">
        <v>327</v>
      </c>
      <c r="J16" s="53" t="s">
        <v>328</v>
      </c>
      <c r="K16" s="4">
        <v>0</v>
      </c>
      <c r="L16" s="5">
        <v>0</v>
      </c>
      <c r="M16" s="5">
        <v>0</v>
      </c>
      <c r="N16" s="39">
        <f>LOG(K16+([2]Values!$D$8*L16)+([2]Values!$D$9*M16)+(O16*[2]Values!D$10)+(P16*[2]Values!$D$11)+1)</f>
        <v>3.9842071266415419E-3</v>
      </c>
      <c r="O16" s="42">
        <v>1</v>
      </c>
      <c r="P16" s="40">
        <v>0</v>
      </c>
      <c r="Q16" s="41" t="s">
        <v>23</v>
      </c>
    </row>
    <row r="17" spans="1:17" ht="15.75" customHeight="1">
      <c r="A17" s="44">
        <v>43477</v>
      </c>
      <c r="B17" s="45" t="s">
        <v>67</v>
      </c>
      <c r="C17" s="45" t="s">
        <v>329</v>
      </c>
      <c r="D17" s="46" t="s">
        <v>330</v>
      </c>
      <c r="E17" s="45" t="s">
        <v>331</v>
      </c>
      <c r="F17" s="45" t="s">
        <v>69</v>
      </c>
      <c r="G17" s="45" t="s">
        <v>332</v>
      </c>
      <c r="H17" s="45"/>
      <c r="I17" s="45" t="s">
        <v>333</v>
      </c>
      <c r="J17" s="56">
        <v>43724</v>
      </c>
      <c r="K17" s="4">
        <v>1</v>
      </c>
      <c r="L17" s="47">
        <v>7</v>
      </c>
      <c r="M17" s="47">
        <v>0</v>
      </c>
      <c r="N17" s="48">
        <f>LOG(K17+([2]Values!$D$8*L17)+([2]Values!$D$9*M17)+(O17*[2]Values!D$10)+(P17*[2]Values!$D$11)+1)</f>
        <v>0.57681331642766742</v>
      </c>
      <c r="O17" s="45">
        <v>0</v>
      </c>
      <c r="P17" s="45">
        <v>0</v>
      </c>
      <c r="Q17" s="49" t="s">
        <v>23</v>
      </c>
    </row>
    <row r="18" spans="1:17" ht="15.75" customHeight="1">
      <c r="A18" s="37">
        <v>43479</v>
      </c>
      <c r="B18" s="36" t="s">
        <v>334</v>
      </c>
      <c r="C18" s="36" t="s">
        <v>335</v>
      </c>
      <c r="D18" s="38" t="s">
        <v>336</v>
      </c>
      <c r="E18" s="36" t="s">
        <v>19</v>
      </c>
      <c r="F18" s="36" t="s">
        <v>20</v>
      </c>
      <c r="G18" s="36">
        <v>6</v>
      </c>
      <c r="H18" s="36"/>
      <c r="I18" s="36" t="s">
        <v>337</v>
      </c>
      <c r="J18" s="36" t="s">
        <v>338</v>
      </c>
      <c r="K18" s="4">
        <v>0</v>
      </c>
      <c r="L18" s="5">
        <v>0</v>
      </c>
      <c r="M18" s="5">
        <v>0</v>
      </c>
      <c r="N18" s="39">
        <f>LOG(K18+([2]Values!$D$8*L18)+([2]Values!$D$9*M18)+(O18*[2]Values!D$10)+(P18*[2]Values!$D$11)+1)</f>
        <v>0.75941556990650905</v>
      </c>
      <c r="O18" s="42">
        <v>458</v>
      </c>
      <c r="P18" s="40">
        <v>17</v>
      </c>
      <c r="Q18" s="41" t="s">
        <v>23</v>
      </c>
    </row>
    <row r="19" spans="1:17" ht="15.75" customHeight="1">
      <c r="A19" s="37">
        <v>43479</v>
      </c>
      <c r="B19" s="36" t="s">
        <v>199</v>
      </c>
      <c r="C19" s="36" t="s">
        <v>339</v>
      </c>
      <c r="D19" s="38" t="s">
        <v>340</v>
      </c>
      <c r="E19" s="36" t="s">
        <v>19</v>
      </c>
      <c r="F19" s="36" t="s">
        <v>20</v>
      </c>
      <c r="G19" s="36">
        <v>25</v>
      </c>
      <c r="H19" s="36"/>
      <c r="I19" s="36" t="s">
        <v>341</v>
      </c>
      <c r="J19" s="36" t="s">
        <v>342</v>
      </c>
      <c r="K19" s="4">
        <v>0</v>
      </c>
      <c r="L19" s="5">
        <v>0</v>
      </c>
      <c r="M19" s="5">
        <v>0</v>
      </c>
      <c r="N19" s="39">
        <f>LOG(K19+([2]Values!$D$8*L19)+([2]Values!$D$9*M19)+(O19*[2]Values!D$10)+(P19*[2]Values!$D$11)+1)</f>
        <v>3.8287005558778897E-2</v>
      </c>
      <c r="O19" s="42">
        <v>10</v>
      </c>
      <c r="P19" s="40">
        <v>0</v>
      </c>
      <c r="Q19" s="41" t="s">
        <v>23</v>
      </c>
    </row>
    <row r="20" spans="1:17" ht="15.75" customHeight="1">
      <c r="A20" s="37">
        <v>43479</v>
      </c>
      <c r="B20" s="36" t="s">
        <v>44</v>
      </c>
      <c r="C20" s="36" t="s">
        <v>343</v>
      </c>
      <c r="D20" s="38" t="s">
        <v>78</v>
      </c>
      <c r="E20" s="36" t="s">
        <v>19</v>
      </c>
      <c r="F20" s="36" t="s">
        <v>20</v>
      </c>
      <c r="G20" s="36">
        <v>10</v>
      </c>
      <c r="H20" s="36"/>
      <c r="I20" s="36" t="s">
        <v>344</v>
      </c>
      <c r="J20" s="36" t="s">
        <v>345</v>
      </c>
      <c r="K20" s="4">
        <v>0</v>
      </c>
      <c r="L20" s="5">
        <v>0</v>
      </c>
      <c r="M20" s="5">
        <v>0</v>
      </c>
      <c r="N20" s="39">
        <f>LOG(K20+([2]Values!$D$8*L20)+([2]Values!$D$9*M20)+(O20*[2]Values!D$10)+(P20*[2]Values!$D$11)+1)</f>
        <v>7.3470426327456026E-2</v>
      </c>
      <c r="O20" s="42">
        <v>20</v>
      </c>
      <c r="P20" s="40">
        <v>0</v>
      </c>
      <c r="Q20" s="41" t="s">
        <v>23</v>
      </c>
    </row>
    <row r="21" spans="1:17" ht="15.75" customHeight="1">
      <c r="A21" s="37">
        <v>43480</v>
      </c>
      <c r="B21" s="36" t="s">
        <v>346</v>
      </c>
      <c r="C21" s="36" t="s">
        <v>347</v>
      </c>
      <c r="D21" s="38" t="s">
        <v>78</v>
      </c>
      <c r="E21" s="36" t="s">
        <v>348</v>
      </c>
      <c r="F21" s="36" t="s">
        <v>20</v>
      </c>
      <c r="G21" s="36">
        <v>8</v>
      </c>
      <c r="H21" s="36"/>
      <c r="I21" s="36" t="s">
        <v>349</v>
      </c>
      <c r="J21" s="51">
        <v>-63217</v>
      </c>
      <c r="K21" s="4">
        <v>0</v>
      </c>
      <c r="L21" s="5">
        <v>0</v>
      </c>
      <c r="M21" s="5">
        <v>0</v>
      </c>
      <c r="N21" s="39">
        <f>LOG(K21+([2]Values!$D$8*L21)+([2]Values!$D$9*M21)+(O21*[2]Values!D$10)+(P21*[2]Values!$D$11)+1)</f>
        <v>3.9842071266415419E-3</v>
      </c>
      <c r="O21" s="40">
        <v>1</v>
      </c>
      <c r="P21" s="40">
        <v>0</v>
      </c>
      <c r="Q21" s="41" t="s">
        <v>23</v>
      </c>
    </row>
    <row r="22" spans="1:17" ht="15.75" customHeight="1">
      <c r="A22" s="37">
        <v>43480</v>
      </c>
      <c r="B22" s="36" t="s">
        <v>350</v>
      </c>
      <c r="C22" s="36" t="s">
        <v>351</v>
      </c>
      <c r="D22" s="38" t="s">
        <v>326</v>
      </c>
      <c r="E22" s="36" t="s">
        <v>19</v>
      </c>
      <c r="F22" s="36" t="s">
        <v>20</v>
      </c>
      <c r="G22" s="36"/>
      <c r="H22" s="36"/>
      <c r="I22" s="36" t="s">
        <v>352</v>
      </c>
      <c r="J22" s="36" t="s">
        <v>353</v>
      </c>
      <c r="K22" s="4">
        <v>0</v>
      </c>
      <c r="L22" s="5">
        <v>0</v>
      </c>
      <c r="M22" s="5">
        <v>0</v>
      </c>
      <c r="N22" s="39">
        <f>LOG(K22+([2]Values!$D$8*L22)+([2]Values!$D$9*M22)+(O22*[2]Values!D$10)+(P22*[2]Values!$D$11)+1)</f>
        <v>3.9842071266415419E-3</v>
      </c>
      <c r="O22" s="40">
        <v>1</v>
      </c>
      <c r="P22" s="40">
        <v>0</v>
      </c>
      <c r="Q22" s="41" t="s">
        <v>23</v>
      </c>
    </row>
    <row r="23" spans="1:17" ht="15.75" customHeight="1">
      <c r="A23" s="37">
        <v>43480</v>
      </c>
      <c r="B23" s="36" t="s">
        <v>72</v>
      </c>
      <c r="C23" s="36" t="s">
        <v>73</v>
      </c>
      <c r="D23" s="38" t="s">
        <v>312</v>
      </c>
      <c r="E23" s="36" t="s">
        <v>19</v>
      </c>
      <c r="F23" s="36" t="s">
        <v>20</v>
      </c>
      <c r="G23" s="36">
        <v>28</v>
      </c>
      <c r="H23" s="36"/>
      <c r="I23" s="36" t="s">
        <v>354</v>
      </c>
      <c r="J23" s="36" t="s">
        <v>355</v>
      </c>
      <c r="K23" s="4">
        <v>0</v>
      </c>
      <c r="L23" s="5">
        <v>0</v>
      </c>
      <c r="M23" s="5">
        <v>4</v>
      </c>
      <c r="N23" s="39">
        <f>LOG(K23+([2]Values!$D$8*L23)+([2]Values!$D$9*M23)+(O23*[2]Values!D$10)+(P23*[2]Values!$D$11)+1)</f>
        <v>4.3065305463155623E-2</v>
      </c>
      <c r="O23" s="40">
        <v>0</v>
      </c>
      <c r="P23" s="40">
        <v>1</v>
      </c>
      <c r="Q23" s="41" t="s">
        <v>23</v>
      </c>
    </row>
    <row r="24" spans="1:17" ht="15.75" customHeight="1">
      <c r="A24" s="37">
        <v>43482</v>
      </c>
      <c r="B24" s="36" t="s">
        <v>216</v>
      </c>
      <c r="C24" s="36" t="s">
        <v>356</v>
      </c>
      <c r="D24" s="38" t="s">
        <v>326</v>
      </c>
      <c r="E24" s="36" t="s">
        <v>19</v>
      </c>
      <c r="F24" s="36" t="s">
        <v>20</v>
      </c>
      <c r="G24" s="36"/>
      <c r="H24" s="36"/>
      <c r="I24" s="36" t="s">
        <v>357</v>
      </c>
      <c r="J24" s="36" t="s">
        <v>358</v>
      </c>
      <c r="K24" s="4">
        <v>0</v>
      </c>
      <c r="L24" s="5">
        <v>0</v>
      </c>
      <c r="M24" s="5">
        <v>0</v>
      </c>
      <c r="N24" s="39">
        <f>LOG(K24+([2]Values!$D$8*L24)+([2]Values!$D$9*M24)+(O24*[2]Values!D$10)+(P24*[2]Values!$D$11)+1)</f>
        <v>1.9565284656210144E-2</v>
      </c>
      <c r="O24" s="40">
        <v>5</v>
      </c>
      <c r="P24" s="40">
        <v>0</v>
      </c>
      <c r="Q24" s="41" t="s">
        <v>23</v>
      </c>
    </row>
    <row r="25" spans="1:17" ht="15.75" customHeight="1">
      <c r="A25" s="44">
        <v>43485</v>
      </c>
      <c r="B25" s="45" t="s">
        <v>359</v>
      </c>
      <c r="C25" s="45" t="s">
        <v>360</v>
      </c>
      <c r="D25" s="46" t="s">
        <v>361</v>
      </c>
      <c r="E25" s="45" t="s">
        <v>362</v>
      </c>
      <c r="F25" s="45" t="s">
        <v>20</v>
      </c>
      <c r="G25" s="45">
        <v>50</v>
      </c>
      <c r="H25" s="45" t="s">
        <v>363</v>
      </c>
      <c r="I25" s="57">
        <v>-30074</v>
      </c>
      <c r="J25" s="57">
        <v>-71423</v>
      </c>
      <c r="K25" s="4">
        <v>2</v>
      </c>
      <c r="L25" s="47"/>
      <c r="M25" s="47">
        <v>20</v>
      </c>
      <c r="N25" s="48">
        <f>LOG(K25+([2]Values!$D$8*L25)+([2]Values!$D$9*M25)+(O25*[2]Values!D$10)+(P25*[2]Values!$D$11)+1)</f>
        <v>1.3112898986266408</v>
      </c>
      <c r="O25" s="45">
        <f>1421-P25</f>
        <v>1236</v>
      </c>
      <c r="P25" s="45">
        <v>185</v>
      </c>
      <c r="Q25" s="49" t="s">
        <v>23</v>
      </c>
    </row>
    <row r="26" spans="1:17" ht="15.75" customHeight="1">
      <c r="A26" s="37">
        <v>43486</v>
      </c>
      <c r="B26" s="36" t="s">
        <v>33</v>
      </c>
      <c r="C26" s="36" t="s">
        <v>34</v>
      </c>
      <c r="D26" s="50" t="s">
        <v>364</v>
      </c>
      <c r="E26" s="36" t="s">
        <v>362</v>
      </c>
      <c r="F26" s="36" t="s">
        <v>20</v>
      </c>
      <c r="G26" s="36">
        <v>10</v>
      </c>
      <c r="H26" s="36" t="s">
        <v>365</v>
      </c>
      <c r="I26" s="51">
        <v>15569</v>
      </c>
      <c r="J26" s="51">
        <v>-94727</v>
      </c>
      <c r="K26" s="4">
        <v>0</v>
      </c>
      <c r="L26" s="5">
        <v>0</v>
      </c>
      <c r="M26" s="5">
        <v>0</v>
      </c>
      <c r="N26" s="39">
        <f>LOG(K26+([2]Values!$D$8*L26)+([2]Values!$D$9*M26)+(O26*[2]Values!D$10)+(P26*[2]Values!$D$11)+1)</f>
        <v>3.9842071266415419E-3</v>
      </c>
      <c r="O26" s="40">
        <v>1</v>
      </c>
      <c r="P26" s="40">
        <v>0</v>
      </c>
      <c r="Q26" s="41" t="s">
        <v>23</v>
      </c>
    </row>
    <row r="27" spans="1:17" ht="15.75" customHeight="1">
      <c r="A27" s="37">
        <v>43487</v>
      </c>
      <c r="B27" s="36" t="s">
        <v>44</v>
      </c>
      <c r="C27" s="36" t="s">
        <v>366</v>
      </c>
      <c r="D27" s="50" t="s">
        <v>367</v>
      </c>
      <c r="E27" s="36" t="s">
        <v>362</v>
      </c>
      <c r="F27" s="36" t="s">
        <v>20</v>
      </c>
      <c r="G27" s="36">
        <v>27</v>
      </c>
      <c r="H27" s="36"/>
      <c r="I27" s="51">
        <v>-10466</v>
      </c>
      <c r="J27" s="51">
        <v>119031</v>
      </c>
      <c r="K27" s="4">
        <v>0</v>
      </c>
      <c r="L27" s="5">
        <v>0</v>
      </c>
      <c r="M27" s="5">
        <v>0</v>
      </c>
      <c r="N27" s="39">
        <f>LOG(K27+([2]Values!$D$8*L27)+([2]Values!$D$9*M27)+(O27*[2]Values!D$10)+(P27*[2]Values!$D$11)+1)</f>
        <v>3.9842071266415419E-3</v>
      </c>
      <c r="O27" s="40">
        <v>1</v>
      </c>
      <c r="P27" s="40">
        <v>0</v>
      </c>
      <c r="Q27" s="41" t="s">
        <v>23</v>
      </c>
    </row>
    <row r="28" spans="1:17" ht="12.3">
      <c r="A28" s="44">
        <v>43487</v>
      </c>
      <c r="B28" s="45" t="s">
        <v>67</v>
      </c>
      <c r="C28" s="45" t="s">
        <v>68</v>
      </c>
      <c r="D28" s="46" t="s">
        <v>368</v>
      </c>
      <c r="E28" s="45" t="s">
        <v>331</v>
      </c>
      <c r="F28" s="45" t="s">
        <v>69</v>
      </c>
      <c r="G28" s="45">
        <v>1</v>
      </c>
      <c r="H28" s="45"/>
      <c r="I28" s="45" t="s">
        <v>369</v>
      </c>
      <c r="J28" s="45" t="s">
        <v>370</v>
      </c>
      <c r="K28" s="4">
        <v>1</v>
      </c>
      <c r="L28" s="47">
        <v>8</v>
      </c>
      <c r="M28" s="47">
        <v>0</v>
      </c>
      <c r="N28" s="48">
        <f>LOG(K28+([2]Values!$D$8*L28)+([2]Values!$D$9*M28)+(O28*[2]Values!D$10)+(P28*[2]Values!$D$11)+1)</f>
        <v>0.60504007750643063</v>
      </c>
      <c r="O28" s="45">
        <v>0</v>
      </c>
      <c r="P28" s="45">
        <v>0</v>
      </c>
      <c r="Q28" s="49" t="s">
        <v>23</v>
      </c>
    </row>
    <row r="29" spans="1:17" ht="12.3">
      <c r="A29" s="37">
        <v>43489</v>
      </c>
      <c r="B29" s="36" t="s">
        <v>156</v>
      </c>
      <c r="C29" s="36" t="s">
        <v>371</v>
      </c>
      <c r="D29" s="38" t="s">
        <v>285</v>
      </c>
      <c r="E29" s="36" t="s">
        <v>362</v>
      </c>
      <c r="F29" s="36" t="s">
        <v>20</v>
      </c>
      <c r="G29" s="36">
        <v>38</v>
      </c>
      <c r="H29" s="36"/>
      <c r="I29" s="58" t="s">
        <v>372</v>
      </c>
      <c r="J29" s="58" t="s">
        <v>373</v>
      </c>
      <c r="K29" s="4">
        <v>0</v>
      </c>
      <c r="L29" s="5">
        <v>0</v>
      </c>
      <c r="M29" s="5">
        <v>0</v>
      </c>
      <c r="N29" s="39">
        <f>LOG(K29+([2]Values!$D$8*L29)+([2]Values!$D$9*M29)+(O29*[2]Values!D$10)+(P29*[2]Values!$D$11)+1)</f>
        <v>1.1844616960551136E-2</v>
      </c>
      <c r="O29" s="40">
        <v>3</v>
      </c>
      <c r="P29" s="40">
        <v>0</v>
      </c>
      <c r="Q29" s="41" t="s">
        <v>23</v>
      </c>
    </row>
    <row r="30" spans="1:17" ht="12.3">
      <c r="A30" s="37">
        <v>43490</v>
      </c>
      <c r="B30" s="36" t="s">
        <v>72</v>
      </c>
      <c r="C30" s="36" t="s">
        <v>374</v>
      </c>
      <c r="D30" s="38" t="s">
        <v>375</v>
      </c>
      <c r="E30" s="36" t="s">
        <v>362</v>
      </c>
      <c r="F30" s="36" t="s">
        <v>20</v>
      </c>
      <c r="G30" s="36">
        <v>56</v>
      </c>
      <c r="H30" s="36" t="s">
        <v>35</v>
      </c>
      <c r="I30" s="36" t="s">
        <v>376</v>
      </c>
      <c r="J30" s="36" t="s">
        <v>377</v>
      </c>
      <c r="K30" s="4">
        <v>0</v>
      </c>
      <c r="L30" s="5">
        <v>10</v>
      </c>
      <c r="M30" s="5">
        <v>0</v>
      </c>
      <c r="N30" s="39">
        <f>LOG(K30+([2]Values!$D$8*L30)+([2]Values!$D$9*M30)+(O30*[2]Values!D$10)+(P30*[2]Values!$D$11)+1)</f>
        <v>0.57755982539689199</v>
      </c>
      <c r="O30" s="40">
        <v>20</v>
      </c>
      <c r="P30" s="40">
        <v>2</v>
      </c>
      <c r="Q30" s="41" t="s">
        <v>23</v>
      </c>
    </row>
    <row r="31" spans="1:17" ht="12.3">
      <c r="A31" s="44">
        <v>43491</v>
      </c>
      <c r="B31" s="45" t="s">
        <v>378</v>
      </c>
      <c r="C31" s="45" t="s">
        <v>379</v>
      </c>
      <c r="D31" s="46" t="s">
        <v>375</v>
      </c>
      <c r="E31" s="45" t="s">
        <v>362</v>
      </c>
      <c r="F31" s="45" t="s">
        <v>380</v>
      </c>
      <c r="G31" s="45">
        <v>9</v>
      </c>
      <c r="H31" s="45"/>
      <c r="I31" s="45" t="s">
        <v>381</v>
      </c>
      <c r="J31" s="45" t="s">
        <v>382</v>
      </c>
      <c r="K31" s="4">
        <v>1</v>
      </c>
      <c r="L31" s="47">
        <v>1</v>
      </c>
      <c r="M31" s="47"/>
      <c r="N31" s="48">
        <f>LOG(K31+([2]Values!$D$8*L31)+([2]Values!$D$9*M31)+(O31*[2]Values!D$10)+(P31*[2]Values!$D$11)+1)</f>
        <v>0.38863089039337645</v>
      </c>
      <c r="O31" s="45">
        <v>21</v>
      </c>
      <c r="P31" s="45"/>
      <c r="Q31" s="49" t="s">
        <v>23</v>
      </c>
    </row>
    <row r="32" spans="1:17" ht="12.3">
      <c r="A32" s="37">
        <v>43491</v>
      </c>
      <c r="B32" s="36" t="s">
        <v>44</v>
      </c>
      <c r="C32" s="36" t="s">
        <v>383</v>
      </c>
      <c r="D32" s="38" t="s">
        <v>364</v>
      </c>
      <c r="E32" s="36" t="s">
        <v>362</v>
      </c>
      <c r="F32" s="36" t="s">
        <v>20</v>
      </c>
      <c r="G32" s="36"/>
      <c r="H32" s="36"/>
      <c r="I32" s="36" t="s">
        <v>384</v>
      </c>
      <c r="J32" s="36" t="s">
        <v>385</v>
      </c>
      <c r="K32" s="4">
        <v>0</v>
      </c>
      <c r="L32" s="5">
        <v>1</v>
      </c>
      <c r="M32" s="5">
        <v>0</v>
      </c>
      <c r="N32" s="39">
        <f>LOG(K32+([2]Values!$D$8*L32)+([2]Values!$D$9*M32)+(O32*[2]Values!D$10)+(P32*[2]Values!$D$11)+1)</f>
        <v>0.11069321920165749</v>
      </c>
      <c r="O32" s="40">
        <v>4</v>
      </c>
      <c r="P32" s="40">
        <v>0</v>
      </c>
      <c r="Q32" s="41" t="s">
        <v>23</v>
      </c>
    </row>
    <row r="33" spans="1:17" ht="12.3">
      <c r="A33" s="37">
        <v>43493</v>
      </c>
      <c r="B33" s="36" t="s">
        <v>317</v>
      </c>
      <c r="C33" s="36" t="s">
        <v>386</v>
      </c>
      <c r="D33" s="38" t="s">
        <v>387</v>
      </c>
      <c r="E33" s="36" t="s">
        <v>362</v>
      </c>
      <c r="F33" s="36" t="s">
        <v>20</v>
      </c>
      <c r="G33" s="36"/>
      <c r="H33" s="36"/>
      <c r="I33" s="36" t="s">
        <v>388</v>
      </c>
      <c r="J33" s="36" t="s">
        <v>389</v>
      </c>
      <c r="K33" s="4">
        <v>0</v>
      </c>
      <c r="L33" s="5">
        <v>0</v>
      </c>
      <c r="M33" s="5">
        <v>0</v>
      </c>
      <c r="N33" s="39">
        <f>LOG(K33+([2]Values!$D$8*L33)+([2]Values!$D$9*M33)+(O33*[2]Values!D$10)+(P33*[2]Values!$D$11)+1)</f>
        <v>1.1844616960551136E-2</v>
      </c>
      <c r="O33" s="40">
        <v>3</v>
      </c>
      <c r="P33" s="40">
        <v>0</v>
      </c>
      <c r="Q33" s="41" t="s">
        <v>23</v>
      </c>
    </row>
    <row r="34" spans="1:17" ht="12.3">
      <c r="A34" s="37">
        <v>43493</v>
      </c>
      <c r="B34" s="36" t="s">
        <v>378</v>
      </c>
      <c r="C34" s="36" t="s">
        <v>390</v>
      </c>
      <c r="D34" s="38" t="s">
        <v>391</v>
      </c>
      <c r="E34" s="36" t="s">
        <v>392</v>
      </c>
      <c r="F34" s="36" t="s">
        <v>380</v>
      </c>
      <c r="G34" s="36">
        <v>19</v>
      </c>
      <c r="H34" s="36" t="s">
        <v>134</v>
      </c>
      <c r="I34" s="59">
        <v>43711</v>
      </c>
      <c r="J34" s="36" t="s">
        <v>393</v>
      </c>
      <c r="K34" s="4">
        <v>0</v>
      </c>
      <c r="L34" s="5">
        <v>0</v>
      </c>
      <c r="M34" s="5"/>
      <c r="N34" s="39">
        <f>LOG(K34+([2]Values!$D$8*L34)+([2]Values!$D$9*M34)+(O34*[2]Values!D$10)+(P34*[2]Values!$D$11)+1)</f>
        <v>0.10601591139679262</v>
      </c>
      <c r="O34" s="40">
        <v>30</v>
      </c>
      <c r="P34" s="40"/>
      <c r="Q34" s="41" t="s">
        <v>23</v>
      </c>
    </row>
    <row r="35" spans="1:17" ht="12.3">
      <c r="A35" s="37">
        <v>43494</v>
      </c>
      <c r="B35" s="36" t="s">
        <v>33</v>
      </c>
      <c r="C35" s="36" t="s">
        <v>34</v>
      </c>
      <c r="D35" s="38" t="s">
        <v>312</v>
      </c>
      <c r="E35" s="36" t="s">
        <v>362</v>
      </c>
      <c r="F35" s="36" t="s">
        <v>20</v>
      </c>
      <c r="G35" s="36">
        <v>79</v>
      </c>
      <c r="H35" s="36"/>
      <c r="I35" s="36" t="s">
        <v>394</v>
      </c>
      <c r="J35" s="36" t="s">
        <v>395</v>
      </c>
      <c r="K35" s="4">
        <v>0</v>
      </c>
      <c r="L35" s="5">
        <v>0</v>
      </c>
      <c r="M35" s="5">
        <v>0</v>
      </c>
      <c r="N35" s="39">
        <f>LOG(K35+([2]Values!$D$8*L35)+([2]Values!$D$9*M35)+(O35*[2]Values!D$10)+(P35*[2]Values!$D$11)+1)</f>
        <v>7.9321952534958575E-3</v>
      </c>
      <c r="O35" s="40">
        <v>2</v>
      </c>
      <c r="P35" s="40">
        <v>0</v>
      </c>
      <c r="Q35" s="41" t="s">
        <v>23</v>
      </c>
    </row>
    <row r="36" spans="1:17" ht="12.3">
      <c r="A36" s="37">
        <v>43494</v>
      </c>
      <c r="B36" s="36" t="s">
        <v>67</v>
      </c>
      <c r="C36" s="36" t="s">
        <v>329</v>
      </c>
      <c r="D36" s="38" t="s">
        <v>340</v>
      </c>
      <c r="E36" s="36" t="s">
        <v>362</v>
      </c>
      <c r="F36" s="36" t="s">
        <v>69</v>
      </c>
      <c r="G36" s="36">
        <v>1</v>
      </c>
      <c r="H36" s="36"/>
      <c r="I36" s="36" t="s">
        <v>396</v>
      </c>
      <c r="J36" s="59">
        <v>43662</v>
      </c>
      <c r="K36" s="4">
        <v>0</v>
      </c>
      <c r="L36" s="5">
        <v>15</v>
      </c>
      <c r="M36" s="5">
        <v>0</v>
      </c>
      <c r="N36" s="39">
        <f>LOG(K36+([2]Values!$D$8*L36)+([2]Values!$D$9*M36)+(O36*[2]Values!D$10)+(P36*[2]Values!$D$11)+1)</f>
        <v>0.68138970822666989</v>
      </c>
      <c r="O36" s="40"/>
      <c r="P36" s="40">
        <v>0</v>
      </c>
      <c r="Q36" s="41" t="s">
        <v>23</v>
      </c>
    </row>
    <row r="37" spans="1:17" ht="12.3">
      <c r="A37" s="44">
        <v>43497</v>
      </c>
      <c r="B37" s="45" t="s">
        <v>24</v>
      </c>
      <c r="C37" s="45" t="s">
        <v>397</v>
      </c>
      <c r="D37" s="46" t="s">
        <v>278</v>
      </c>
      <c r="E37" s="45" t="s">
        <v>348</v>
      </c>
      <c r="F37" s="45" t="s">
        <v>20</v>
      </c>
      <c r="G37" s="45">
        <v>2</v>
      </c>
      <c r="H37" s="45"/>
      <c r="I37" s="60">
        <v>43727</v>
      </c>
      <c r="J37" s="45" t="s">
        <v>398</v>
      </c>
      <c r="K37" s="4">
        <v>1</v>
      </c>
      <c r="L37" s="47"/>
      <c r="M37" s="61">
        <v>1000</v>
      </c>
      <c r="N37" s="48">
        <f>LOG(K37+([2]Values!$D$8*L37)+([2]Values!$D$9*M37)+(O37*[2]Values!D$10)+(P37*[2]Values!$D$11)+1)</f>
        <v>1.5215788179066925</v>
      </c>
      <c r="O37" s="62">
        <v>1400</v>
      </c>
      <c r="P37" s="62"/>
      <c r="Q37" s="49" t="s">
        <v>23</v>
      </c>
    </row>
    <row r="38" spans="1:17" ht="12.3">
      <c r="A38" s="37">
        <v>43497</v>
      </c>
      <c r="B38" s="36" t="s">
        <v>33</v>
      </c>
      <c r="C38" s="36" t="s">
        <v>399</v>
      </c>
      <c r="D38" s="50" t="s">
        <v>400</v>
      </c>
      <c r="E38" s="36" t="s">
        <v>362</v>
      </c>
      <c r="F38" s="36" t="s">
        <v>20</v>
      </c>
      <c r="G38" s="36">
        <v>67</v>
      </c>
      <c r="H38" s="36" t="s">
        <v>123</v>
      </c>
      <c r="I38" s="36" t="s">
        <v>401</v>
      </c>
      <c r="J38" s="36" t="s">
        <v>402</v>
      </c>
      <c r="K38" s="4">
        <f t="shared" ref="K38:M38" si="0">SUM(K39:K41)</f>
        <v>0</v>
      </c>
      <c r="L38" s="5">
        <f t="shared" si="0"/>
        <v>34</v>
      </c>
      <c r="M38" s="5">
        <f t="shared" si="0"/>
        <v>0</v>
      </c>
      <c r="N38" s="39">
        <f>LOG(K38+([2]Values!$D$8*L38)+([2]Values!$D$9*M38)+(O38*[2]Values!D$10)+(P38*[2]Values!$D$11)+1)</f>
        <v>1.066480817128544</v>
      </c>
      <c r="O38" s="40">
        <f t="shared" ref="O38:P38" si="1">SUM(O39:O41)</f>
        <v>164</v>
      </c>
      <c r="P38" s="40">
        <f t="shared" si="1"/>
        <v>17</v>
      </c>
      <c r="Q38" s="41" t="s">
        <v>23</v>
      </c>
    </row>
    <row r="39" spans="1:17" ht="12.3">
      <c r="A39" s="37"/>
      <c r="B39" s="36"/>
      <c r="C39" s="36"/>
      <c r="D39" s="50" t="s">
        <v>400</v>
      </c>
      <c r="E39" s="36" t="s">
        <v>362</v>
      </c>
      <c r="F39" s="36" t="s">
        <v>20</v>
      </c>
      <c r="G39" s="36"/>
      <c r="H39" s="36"/>
      <c r="I39" s="36"/>
      <c r="J39" s="36"/>
      <c r="K39" s="4">
        <f t="shared" ref="K39:K42" si="2">SUM(K40:K42)</f>
        <v>0</v>
      </c>
      <c r="L39" s="5">
        <v>3</v>
      </c>
      <c r="M39" s="5"/>
      <c r="N39" s="39">
        <f>LOG(K39+([2]Values!$D$8*L39)+([2]Values!$D$9*M39)+(O39*[2]Values!D$10)+(P39*[2]Values!$D$11)+1)</f>
        <v>0.52450483057307096</v>
      </c>
      <c r="O39" s="40">
        <v>115</v>
      </c>
      <c r="P39" s="40">
        <v>17</v>
      </c>
      <c r="Q39" s="41" t="s">
        <v>23</v>
      </c>
    </row>
    <row r="40" spans="1:17" ht="12.3">
      <c r="A40" s="36"/>
      <c r="B40" s="36"/>
      <c r="C40" s="36"/>
      <c r="D40" s="50" t="s">
        <v>400</v>
      </c>
      <c r="E40" s="36" t="s">
        <v>362</v>
      </c>
      <c r="F40" s="36" t="s">
        <v>20</v>
      </c>
      <c r="G40" s="36"/>
      <c r="H40" s="36"/>
      <c r="I40" s="36"/>
      <c r="J40" s="36"/>
      <c r="K40" s="4">
        <f t="shared" si="2"/>
        <v>0</v>
      </c>
      <c r="L40" s="5">
        <v>31</v>
      </c>
      <c r="M40" s="5"/>
      <c r="N40" s="39">
        <f>LOG(K40+([2]Values!$D$8*L40)+([2]Values!$D$9*M40)+(O40*[2]Values!D$10)+(P40*[2]Values!$D$11)+1)</f>
        <v>0.96844101849969577</v>
      </c>
      <c r="O40" s="40">
        <v>48</v>
      </c>
      <c r="P40" s="40"/>
      <c r="Q40" s="41" t="s">
        <v>23</v>
      </c>
    </row>
    <row r="41" spans="1:17" ht="12.3">
      <c r="A41" s="36"/>
      <c r="B41" s="36"/>
      <c r="C41" s="36"/>
      <c r="D41" s="50" t="s">
        <v>400</v>
      </c>
      <c r="E41" s="36" t="s">
        <v>362</v>
      </c>
      <c r="F41" s="36" t="s">
        <v>20</v>
      </c>
      <c r="G41" s="36"/>
      <c r="H41" s="36"/>
      <c r="I41" s="36"/>
      <c r="J41" s="36"/>
      <c r="K41" s="4">
        <f t="shared" si="2"/>
        <v>0</v>
      </c>
      <c r="L41" s="5"/>
      <c r="M41" s="5"/>
      <c r="N41" s="39">
        <f>LOG(K41+([2]Values!$D$8*L41)+([2]Values!$D$9*M41)+(O41*[2]Values!D$10)+(P41*[2]Values!$D$11)+1)</f>
        <v>3.9842071266415419E-3</v>
      </c>
      <c r="O41" s="40">
        <v>1</v>
      </c>
      <c r="P41" s="40"/>
      <c r="Q41" s="41" t="s">
        <v>23</v>
      </c>
    </row>
    <row r="42" spans="1:17" ht="12.3">
      <c r="A42" s="37">
        <v>43497</v>
      </c>
      <c r="B42" s="36" t="s">
        <v>83</v>
      </c>
      <c r="C42" s="36" t="s">
        <v>84</v>
      </c>
      <c r="D42" s="38" t="s">
        <v>391</v>
      </c>
      <c r="E42" s="36" t="s">
        <v>362</v>
      </c>
      <c r="F42" s="36" t="s">
        <v>20</v>
      </c>
      <c r="G42" s="36">
        <v>15</v>
      </c>
      <c r="H42" s="36"/>
      <c r="I42" s="36" t="s">
        <v>405</v>
      </c>
      <c r="J42" s="36" t="s">
        <v>406</v>
      </c>
      <c r="K42" s="4">
        <f t="shared" si="2"/>
        <v>0</v>
      </c>
      <c r="L42" s="5"/>
      <c r="M42" s="5"/>
      <c r="N42" s="39">
        <f>LOG(K42+([2]Values!$D$8*L42)+([2]Values!$D$9*M42)+(O42*[2]Values!D$10)+(P42*[2]Values!$D$11)+1)</f>
        <v>7.3470426327456026E-2</v>
      </c>
      <c r="O42" s="42">
        <v>20</v>
      </c>
      <c r="P42" s="40"/>
      <c r="Q42" s="41" t="s">
        <v>23</v>
      </c>
    </row>
    <row r="43" spans="1:17" ht="12.3">
      <c r="A43" s="37">
        <v>43498</v>
      </c>
      <c r="B43" s="36" t="s">
        <v>44</v>
      </c>
      <c r="C43" s="36" t="s">
        <v>407</v>
      </c>
      <c r="D43" s="50" t="s">
        <v>408</v>
      </c>
      <c r="E43" s="36" t="s">
        <v>362</v>
      </c>
      <c r="F43" s="36" t="s">
        <v>20</v>
      </c>
      <c r="G43" s="36">
        <v>37</v>
      </c>
      <c r="H43" s="36"/>
      <c r="I43" s="36" t="s">
        <v>409</v>
      </c>
      <c r="J43" s="36" t="s">
        <v>410</v>
      </c>
      <c r="K43" s="4">
        <v>0</v>
      </c>
      <c r="L43" s="5">
        <v>0</v>
      </c>
      <c r="M43" s="43">
        <v>20</v>
      </c>
      <c r="N43" s="39">
        <f>LOG(K43+([2]Values!$D$8*L43)+([2]Values!$D$9*M43)+(O43*[2]Values!D$10)+(P43*[2]Values!$D$11)+1)</f>
        <v>0.3443460556867704</v>
      </c>
      <c r="O43" s="40">
        <v>68</v>
      </c>
      <c r="P43" s="40">
        <v>7</v>
      </c>
      <c r="Q43" s="41" t="s">
        <v>23</v>
      </c>
    </row>
    <row r="44" spans="1:17" ht="12.6">
      <c r="A44" s="37">
        <v>43499</v>
      </c>
      <c r="B44" s="36" t="s">
        <v>24</v>
      </c>
      <c r="C44" s="36" t="s">
        <v>191</v>
      </c>
      <c r="D44" s="38" t="s">
        <v>411</v>
      </c>
      <c r="E44" s="36" t="s">
        <v>362</v>
      </c>
      <c r="F44" s="36" t="s">
        <v>412</v>
      </c>
      <c r="G44" s="36"/>
      <c r="H44" s="36"/>
      <c r="I44" s="63" t="s">
        <v>65</v>
      </c>
      <c r="J44" s="63" t="s">
        <v>413</v>
      </c>
      <c r="K44" s="4">
        <v>0</v>
      </c>
      <c r="L44" s="5">
        <v>0</v>
      </c>
      <c r="M44" s="5">
        <v>0</v>
      </c>
      <c r="N44" s="39">
        <f>LOG(K44+([2]Values!$D$8*L44)+([2]Values!$D$9*M44)+(O44*[2]Values!D$10)+(P44*[2]Values!$D$11)+1)</f>
        <v>3.9842071266415419E-3</v>
      </c>
      <c r="O44" s="40">
        <v>1</v>
      </c>
      <c r="P44" s="40">
        <v>0</v>
      </c>
      <c r="Q44" s="41" t="s">
        <v>23</v>
      </c>
    </row>
    <row r="45" spans="1:17" ht="12.3">
      <c r="A45" s="37">
        <v>43500</v>
      </c>
      <c r="B45" s="36" t="s">
        <v>414</v>
      </c>
      <c r="C45" s="36" t="s">
        <v>415</v>
      </c>
      <c r="D45" s="38" t="s">
        <v>285</v>
      </c>
      <c r="E45" s="36" t="s">
        <v>362</v>
      </c>
      <c r="F45" s="36" t="s">
        <v>20</v>
      </c>
      <c r="G45" s="36">
        <v>74</v>
      </c>
      <c r="H45" s="36"/>
      <c r="I45" s="51">
        <v>18136</v>
      </c>
      <c r="J45" s="51">
        <v>-68552</v>
      </c>
      <c r="K45" s="4">
        <v>0</v>
      </c>
      <c r="L45" s="5">
        <v>0</v>
      </c>
      <c r="M45" s="5"/>
      <c r="N45" s="39">
        <f>LOG(K45+([2]Values!$D$8*L45)+([2]Values!$D$9*M45)+(O45*[2]Values!D$10)+(P45*[2]Values!$D$11)+1)</f>
        <v>7.6836942944790279E-2</v>
      </c>
      <c r="O45" s="40">
        <v>21</v>
      </c>
      <c r="P45" s="40"/>
      <c r="Q45" s="41" t="s">
        <v>23</v>
      </c>
    </row>
    <row r="46" spans="1:17" ht="12.3">
      <c r="A46" s="37">
        <v>43500</v>
      </c>
      <c r="B46" s="36" t="s">
        <v>29</v>
      </c>
      <c r="C46" s="36" t="s">
        <v>416</v>
      </c>
      <c r="D46" s="50" t="s">
        <v>364</v>
      </c>
      <c r="E46" s="36" t="s">
        <v>362</v>
      </c>
      <c r="F46" s="36" t="s">
        <v>20</v>
      </c>
      <c r="G46" s="36"/>
      <c r="H46" s="36"/>
      <c r="I46" s="51">
        <v>-2448</v>
      </c>
      <c r="J46" s="51">
        <v>-79862</v>
      </c>
      <c r="K46" s="4">
        <v>0</v>
      </c>
      <c r="L46" s="5">
        <v>0</v>
      </c>
      <c r="M46" s="5">
        <v>4</v>
      </c>
      <c r="N46" s="39">
        <f>LOG(K46+([2]Values!$D$8*L46)+([2]Values!$D$9*M46)+(O46*[2]Values!D$10)+(P46*[2]Values!$D$11)+1)</f>
        <v>6.7724579878525565E-2</v>
      </c>
      <c r="O46" s="40">
        <v>7</v>
      </c>
      <c r="P46" s="40">
        <v>1</v>
      </c>
      <c r="Q46" s="41" t="s">
        <v>23</v>
      </c>
    </row>
    <row r="47" spans="1:17" ht="12.3">
      <c r="A47" s="37">
        <v>43501</v>
      </c>
      <c r="B47" s="36" t="s">
        <v>156</v>
      </c>
      <c r="C47" s="36" t="s">
        <v>417</v>
      </c>
      <c r="D47" s="38" t="s">
        <v>391</v>
      </c>
      <c r="E47" s="36" t="s">
        <v>362</v>
      </c>
      <c r="F47" s="36" t="s">
        <v>20</v>
      </c>
      <c r="G47" s="36"/>
      <c r="H47" s="36"/>
      <c r="I47" s="51">
        <v>39036</v>
      </c>
      <c r="J47" s="51">
        <v>20561</v>
      </c>
      <c r="K47" s="4">
        <v>0</v>
      </c>
      <c r="L47" s="5">
        <v>0</v>
      </c>
      <c r="M47" s="5">
        <v>0</v>
      </c>
      <c r="N47" s="39">
        <f>LOG(K47+([2]Values!$D$8*L47)+([2]Values!$D$9*M47)+(O47*[2]Values!D$10)+(P47*[2]Values!$D$11)+1)</f>
        <v>3.8287005558778897E-2</v>
      </c>
      <c r="O47" s="42">
        <v>10</v>
      </c>
      <c r="P47" s="42">
        <v>0</v>
      </c>
      <c r="Q47" s="41" t="s">
        <v>23</v>
      </c>
    </row>
    <row r="48" spans="1:17" ht="12.3">
      <c r="A48" s="37">
        <v>43501</v>
      </c>
      <c r="B48" s="36" t="s">
        <v>216</v>
      </c>
      <c r="C48" s="36" t="s">
        <v>418</v>
      </c>
      <c r="D48" s="50" t="s">
        <v>375</v>
      </c>
      <c r="E48" s="36" t="s">
        <v>362</v>
      </c>
      <c r="F48" s="36" t="s">
        <v>20</v>
      </c>
      <c r="G48" s="36"/>
      <c r="H48" s="36"/>
      <c r="I48" s="51">
        <v>35073</v>
      </c>
      <c r="J48" s="51">
        <v>74171</v>
      </c>
      <c r="K48" s="4">
        <v>0</v>
      </c>
      <c r="L48" s="5">
        <v>0</v>
      </c>
      <c r="M48" s="5">
        <v>0</v>
      </c>
      <c r="N48" s="39">
        <f>LOG(K48+([2]Values!$D$8*L48)+([2]Values!$D$9*M48)+(O48*[2]Values!D$10)+(P48*[2]Values!$D$11)+1)</f>
        <v>7.3470426327456026E-2</v>
      </c>
      <c r="O48" s="42">
        <v>20</v>
      </c>
      <c r="P48" s="42">
        <v>0</v>
      </c>
      <c r="Q48" s="41" t="s">
        <v>23</v>
      </c>
    </row>
    <row r="49" spans="1:17" ht="12.3">
      <c r="A49" s="64">
        <v>43501</v>
      </c>
      <c r="B49" s="40" t="s">
        <v>419</v>
      </c>
      <c r="C49" s="40" t="s">
        <v>420</v>
      </c>
      <c r="D49" s="50" t="s">
        <v>391</v>
      </c>
      <c r="E49" s="40" t="s">
        <v>362</v>
      </c>
      <c r="F49" s="40" t="s">
        <v>20</v>
      </c>
      <c r="G49" s="40">
        <v>8</v>
      </c>
      <c r="H49" s="40" t="s">
        <v>35</v>
      </c>
      <c r="I49" s="40" t="s">
        <v>421</v>
      </c>
      <c r="J49" s="40" t="s">
        <v>422</v>
      </c>
      <c r="K49" s="4">
        <v>0</v>
      </c>
      <c r="L49" s="5">
        <v>30</v>
      </c>
      <c r="M49" s="43">
        <v>1000</v>
      </c>
      <c r="N49" s="39">
        <f>LOG(K49+([2]Values!$D$8*L49)+([2]Values!$D$9*M49)+(O49*[2]Values!D$10)+(P49*[2]Values!$D$11)+1)</f>
        <v>1.8379941362886172</v>
      </c>
      <c r="O49" s="40">
        <v>2342</v>
      </c>
      <c r="P49" s="42">
        <v>658</v>
      </c>
      <c r="Q49" s="65" t="s">
        <v>23</v>
      </c>
    </row>
    <row r="50" spans="1:17" ht="12.3">
      <c r="A50" s="37">
        <v>43503</v>
      </c>
      <c r="B50" s="36" t="s">
        <v>44</v>
      </c>
      <c r="C50" s="36" t="s">
        <v>423</v>
      </c>
      <c r="D50" s="38" t="s">
        <v>424</v>
      </c>
      <c r="E50" s="36" t="s">
        <v>362</v>
      </c>
      <c r="F50" s="36" t="s">
        <v>20</v>
      </c>
      <c r="G50" s="36"/>
      <c r="H50" s="36"/>
      <c r="I50" s="51">
        <v>2215</v>
      </c>
      <c r="J50" s="51">
        <v>128765</v>
      </c>
      <c r="K50" s="4">
        <v>0</v>
      </c>
      <c r="L50" s="5">
        <v>0</v>
      </c>
      <c r="M50" s="5">
        <v>0</v>
      </c>
      <c r="N50" s="39">
        <f>LOG(K50+([2]Values!$D$8*L50)+([2]Values!$D$9*M50)+(O50*[2]Values!D$10)+(P50*[2]Values!$D$11)+1)</f>
        <v>0.15349307720556646</v>
      </c>
      <c r="O50" s="40">
        <v>46</v>
      </c>
      <c r="P50" s="40">
        <v>0</v>
      </c>
      <c r="Q50" s="41" t="s">
        <v>23</v>
      </c>
    </row>
    <row r="51" spans="1:17" ht="12.3">
      <c r="A51" s="37">
        <v>43505</v>
      </c>
      <c r="B51" s="36" t="s">
        <v>17</v>
      </c>
      <c r="C51" s="36" t="s">
        <v>425</v>
      </c>
      <c r="D51" s="38" t="s">
        <v>294</v>
      </c>
      <c r="E51" s="36" t="s">
        <v>362</v>
      </c>
      <c r="F51" s="36" t="s">
        <v>20</v>
      </c>
      <c r="G51" s="36">
        <v>15</v>
      </c>
      <c r="H51" s="36"/>
      <c r="I51" s="36" t="s">
        <v>426</v>
      </c>
      <c r="J51" s="36" t="s">
        <v>427</v>
      </c>
      <c r="K51" s="4">
        <v>0</v>
      </c>
      <c r="L51" s="5">
        <v>0</v>
      </c>
      <c r="M51" s="5">
        <v>0</v>
      </c>
      <c r="N51" s="39">
        <f>LOG(K51+([2]Values!$D$8*L51)+([2]Values!$D$9*M51)+(O51*[2]Values!D$10)+(P51*[2]Values!$D$11)+1)</f>
        <v>5.0411588783649056E-2</v>
      </c>
      <c r="O51" s="42">
        <v>10</v>
      </c>
      <c r="P51" s="40">
        <v>1</v>
      </c>
      <c r="Q51" s="41" t="s">
        <v>23</v>
      </c>
    </row>
    <row r="52" spans="1:17" ht="12.3">
      <c r="A52" s="37">
        <v>43506</v>
      </c>
      <c r="B52" s="36" t="s">
        <v>17</v>
      </c>
      <c r="C52" s="36" t="s">
        <v>110</v>
      </c>
      <c r="D52" s="38" t="s">
        <v>391</v>
      </c>
      <c r="E52" s="36" t="s">
        <v>362</v>
      </c>
      <c r="F52" s="36" t="s">
        <v>20</v>
      </c>
      <c r="G52" s="36">
        <v>10</v>
      </c>
      <c r="H52" s="36"/>
      <c r="I52" s="51">
        <v>26935</v>
      </c>
      <c r="J52" s="51">
        <v>55729</v>
      </c>
      <c r="K52" s="4">
        <v>0</v>
      </c>
      <c r="L52" s="5">
        <v>5</v>
      </c>
      <c r="M52" s="43">
        <v>500</v>
      </c>
      <c r="N52" s="39">
        <f>LOG(K52+([2]Values!$D$8*L52)+([2]Values!$D$9*M52)+(O52*[2]Values!D$10)+(P52*[2]Values!$D$11)+1)</f>
        <v>1.1142341032088703</v>
      </c>
      <c r="O52" s="40">
        <v>171</v>
      </c>
      <c r="P52" s="40"/>
      <c r="Q52" s="41" t="s">
        <v>23</v>
      </c>
    </row>
    <row r="53" spans="1:17" ht="12.3">
      <c r="A53" s="37">
        <v>43508</v>
      </c>
      <c r="B53" s="36" t="s">
        <v>83</v>
      </c>
      <c r="C53" s="36" t="s">
        <v>323</v>
      </c>
      <c r="D53" s="38" t="s">
        <v>428</v>
      </c>
      <c r="E53" s="36" t="s">
        <v>362</v>
      </c>
      <c r="F53" s="36" t="s">
        <v>20</v>
      </c>
      <c r="G53" s="36">
        <v>5</v>
      </c>
      <c r="H53" s="36"/>
      <c r="I53" s="36" t="s">
        <v>429</v>
      </c>
      <c r="J53" s="36" t="s">
        <v>430</v>
      </c>
      <c r="K53" s="4">
        <v>0</v>
      </c>
      <c r="L53" s="5">
        <v>0</v>
      </c>
      <c r="M53" s="5">
        <v>0</v>
      </c>
      <c r="N53" s="39">
        <f>LOG(K53+([2]Values!$D$8*L53)+([2]Values!$D$9*M53)+(O53*[2]Values!D$10)+(P53*[2]Values!$D$11)+1)</f>
        <v>0.19882739251053341</v>
      </c>
      <c r="O53" s="40">
        <v>63</v>
      </c>
      <c r="P53" s="40">
        <v>0</v>
      </c>
      <c r="Q53" s="41" t="s">
        <v>23</v>
      </c>
    </row>
    <row r="54" spans="1:17" ht="12.3">
      <c r="A54" s="37">
        <v>43508</v>
      </c>
      <c r="B54" s="36" t="s">
        <v>105</v>
      </c>
      <c r="C54" s="36" t="s">
        <v>431</v>
      </c>
      <c r="D54" s="38" t="s">
        <v>336</v>
      </c>
      <c r="E54" s="36" t="s">
        <v>362</v>
      </c>
      <c r="F54" s="36" t="s">
        <v>20</v>
      </c>
      <c r="G54" s="36">
        <v>5</v>
      </c>
      <c r="H54" s="36"/>
      <c r="I54" s="36" t="s">
        <v>432</v>
      </c>
      <c r="J54" s="36" t="s">
        <v>433</v>
      </c>
      <c r="K54" s="4">
        <v>0</v>
      </c>
      <c r="L54" s="5">
        <v>0</v>
      </c>
      <c r="M54" s="5">
        <v>0</v>
      </c>
      <c r="N54" s="39">
        <f>LOG(K54+([2]Values!$D$8*L54)+([2]Values!$D$9*M54)+(O54*[2]Values!D$10)+(P54*[2]Values!$D$11)+1)</f>
        <v>3.8287005558778897E-2</v>
      </c>
      <c r="O54" s="42">
        <v>10</v>
      </c>
      <c r="P54" s="40"/>
      <c r="Q54" s="41" t="s">
        <v>23</v>
      </c>
    </row>
    <row r="55" spans="1:17" ht="12.3">
      <c r="A55" s="37">
        <v>43510</v>
      </c>
      <c r="B55" s="36" t="s">
        <v>29</v>
      </c>
      <c r="C55" s="36" t="s">
        <v>434</v>
      </c>
      <c r="D55" s="38" t="s">
        <v>294</v>
      </c>
      <c r="E55" s="36" t="s">
        <v>362</v>
      </c>
      <c r="F55" s="36" t="s">
        <v>20</v>
      </c>
      <c r="G55" s="36">
        <v>5</v>
      </c>
      <c r="H55" s="36"/>
      <c r="I55" s="36" t="s">
        <v>435</v>
      </c>
      <c r="J55" s="36" t="s">
        <v>436</v>
      </c>
      <c r="K55" s="4">
        <v>0</v>
      </c>
      <c r="L55" s="5">
        <v>0</v>
      </c>
      <c r="M55" s="5">
        <v>0</v>
      </c>
      <c r="N55" s="39">
        <f>LOG(K55+([2]Values!$D$8*L55)+([2]Values!$D$9*M55)+(O55*[2]Values!D$10)+(P55*[2]Values!$D$11)+1)</f>
        <v>0.13629158730159477</v>
      </c>
      <c r="O55" s="40">
        <v>40</v>
      </c>
      <c r="P55" s="40">
        <v>0</v>
      </c>
      <c r="Q55" s="41" t="s">
        <v>23</v>
      </c>
    </row>
    <row r="56" spans="1:17" ht="12.3">
      <c r="A56" s="37">
        <v>43510</v>
      </c>
      <c r="B56" s="36" t="s">
        <v>72</v>
      </c>
      <c r="C56" s="36" t="s">
        <v>437</v>
      </c>
      <c r="D56" s="38" t="s">
        <v>424</v>
      </c>
      <c r="E56" s="36" t="s">
        <v>362</v>
      </c>
      <c r="F56" s="36" t="s">
        <v>20</v>
      </c>
      <c r="G56" s="36"/>
      <c r="H56" s="36"/>
      <c r="I56" s="51">
        <v>-12185</v>
      </c>
      <c r="J56" s="36" t="s">
        <v>438</v>
      </c>
      <c r="K56" s="4">
        <v>0</v>
      </c>
      <c r="L56" s="5">
        <v>2</v>
      </c>
      <c r="M56" s="5">
        <v>0</v>
      </c>
      <c r="N56" s="39">
        <f>LOG(K56+([2]Values!$D$8*L56)+([2]Values!$D$9*M56)+(O56*[2]Values!D$10)+(P56*[2]Values!$D$11)+1)</f>
        <v>0.19882609507454085</v>
      </c>
      <c r="O56" s="40">
        <v>8</v>
      </c>
      <c r="P56" s="40">
        <v>0</v>
      </c>
      <c r="Q56" s="41" t="s">
        <v>23</v>
      </c>
    </row>
    <row r="57" spans="1:17" ht="12.3">
      <c r="A57" s="37">
        <v>43510</v>
      </c>
      <c r="B57" s="36" t="s">
        <v>378</v>
      </c>
      <c r="C57" s="36" t="s">
        <v>439</v>
      </c>
      <c r="D57" s="38" t="s">
        <v>340</v>
      </c>
      <c r="E57" s="36" t="s">
        <v>362</v>
      </c>
      <c r="F57" s="36" t="s">
        <v>20</v>
      </c>
      <c r="G57" s="36"/>
      <c r="H57" s="36"/>
      <c r="I57" s="36" t="s">
        <v>440</v>
      </c>
      <c r="J57" s="36" t="s">
        <v>441</v>
      </c>
      <c r="K57" s="4">
        <v>0</v>
      </c>
      <c r="L57" s="5">
        <v>0</v>
      </c>
      <c r="M57" s="5">
        <v>0</v>
      </c>
      <c r="N57" s="39">
        <f>LOG(K57+([2]Values!$D$8*L57)+([2]Values!$D$9*M57)+(O57*[2]Values!D$10)+(P57*[2]Values!$D$11)+1)</f>
        <v>3.9842071266415419E-3</v>
      </c>
      <c r="O57" s="40">
        <v>1</v>
      </c>
      <c r="P57" s="40">
        <v>0</v>
      </c>
      <c r="Q57" s="41" t="s">
        <v>23</v>
      </c>
    </row>
    <row r="58" spans="1:17" ht="12.3">
      <c r="A58" s="37">
        <v>43511</v>
      </c>
      <c r="B58" s="36" t="s">
        <v>39</v>
      </c>
      <c r="C58" s="36" t="s">
        <v>273</v>
      </c>
      <c r="D58" s="38" t="s">
        <v>442</v>
      </c>
      <c r="E58" s="36" t="s">
        <v>362</v>
      </c>
      <c r="F58" s="36" t="s">
        <v>20</v>
      </c>
      <c r="G58" s="36">
        <v>6</v>
      </c>
      <c r="H58" s="36"/>
      <c r="I58" s="36" t="s">
        <v>443</v>
      </c>
      <c r="J58" s="36" t="s">
        <v>444</v>
      </c>
      <c r="K58" s="4">
        <v>0</v>
      </c>
      <c r="L58" s="5">
        <v>0</v>
      </c>
      <c r="M58" s="5">
        <v>0</v>
      </c>
      <c r="N58" s="39">
        <f>LOG(K58+([2]Values!$D$8*L58)+([2]Values!$D$9*M58)+(O58*[2]Values!D$10)+(P58*[2]Values!$D$11)+1)</f>
        <v>3.9842071266415419E-3</v>
      </c>
      <c r="O58" s="40">
        <v>1</v>
      </c>
      <c r="P58" s="40">
        <v>0</v>
      </c>
      <c r="Q58" s="41" t="s">
        <v>23</v>
      </c>
    </row>
    <row r="59" spans="1:17" ht="12.3">
      <c r="A59" s="37">
        <v>43516</v>
      </c>
      <c r="B59" s="36" t="s">
        <v>445</v>
      </c>
      <c r="C59" s="36" t="s">
        <v>446</v>
      </c>
      <c r="D59" s="38" t="s">
        <v>336</v>
      </c>
      <c r="E59" s="36" t="s">
        <v>41</v>
      </c>
      <c r="F59" s="36" t="s">
        <v>20</v>
      </c>
      <c r="G59" s="36"/>
      <c r="H59" s="36"/>
      <c r="I59" s="36" t="s">
        <v>447</v>
      </c>
      <c r="J59" s="36" t="s">
        <v>448</v>
      </c>
      <c r="K59" s="4">
        <v>0</v>
      </c>
      <c r="L59" s="5">
        <v>0</v>
      </c>
      <c r="M59" s="5">
        <v>0</v>
      </c>
      <c r="N59" s="39">
        <f>LOG(K59+([2]Values!$D$8*L59)+([2]Values!$D$9*M59)+(O59*[2]Values!D$10)+(P59*[2]Values!$D$11)+1)</f>
        <v>0.27675988055080503</v>
      </c>
      <c r="O59" s="40">
        <v>90</v>
      </c>
      <c r="P59" s="40">
        <v>2</v>
      </c>
      <c r="Q59" s="41" t="s">
        <v>23</v>
      </c>
    </row>
    <row r="60" spans="1:17" ht="12.3">
      <c r="A60" s="37">
        <v>43516</v>
      </c>
      <c r="B60" s="36" t="s">
        <v>105</v>
      </c>
      <c r="C60" s="36" t="s">
        <v>449</v>
      </c>
      <c r="D60" s="38" t="s">
        <v>450</v>
      </c>
      <c r="E60" s="36" t="s">
        <v>362</v>
      </c>
      <c r="F60" s="36" t="s">
        <v>20</v>
      </c>
      <c r="G60" s="36">
        <v>5</v>
      </c>
      <c r="H60" s="36"/>
      <c r="I60" s="36" t="s">
        <v>451</v>
      </c>
      <c r="J60" s="36" t="s">
        <v>452</v>
      </c>
      <c r="K60" s="4">
        <v>0</v>
      </c>
      <c r="L60" s="5">
        <v>27</v>
      </c>
      <c r="M60" s="5"/>
      <c r="N60" s="39">
        <f>LOG(K60+([2]Values!$D$8*L60)+([2]Values!$D$9*M60)+(O60*[2]Values!D$10)+(P60*[2]Values!$D$11)+1)</f>
        <v>0.98283463206512456</v>
      </c>
      <c r="O60" s="40">
        <v>192</v>
      </c>
      <c r="P60" s="40">
        <v>0</v>
      </c>
      <c r="Q60" s="41" t="s">
        <v>23</v>
      </c>
    </row>
    <row r="61" spans="1:17" ht="12.3">
      <c r="A61" s="37">
        <v>43517</v>
      </c>
      <c r="B61" s="36" t="s">
        <v>258</v>
      </c>
      <c r="C61" s="36" t="s">
        <v>453</v>
      </c>
      <c r="D61" s="50" t="s">
        <v>304</v>
      </c>
      <c r="E61" s="36" t="s">
        <v>392</v>
      </c>
      <c r="F61" s="36" t="s">
        <v>20</v>
      </c>
      <c r="G61" s="36">
        <v>31</v>
      </c>
      <c r="H61" s="36" t="s">
        <v>454</v>
      </c>
      <c r="I61" s="36" t="s">
        <v>455</v>
      </c>
      <c r="J61" s="36" t="s">
        <v>456</v>
      </c>
      <c r="K61" s="4">
        <v>0</v>
      </c>
      <c r="L61" s="5">
        <v>6</v>
      </c>
      <c r="M61" s="5">
        <v>0</v>
      </c>
      <c r="N61" s="39">
        <f>LOG(K61+([2]Values!$D$8*L61)+([2]Values!$D$9*M61)+(O61*[2]Values!D$10)+(P61*[2]Values!$D$11)+1)</f>
        <v>0.40309866552673157</v>
      </c>
      <c r="O61" s="40">
        <v>1</v>
      </c>
      <c r="P61" s="40">
        <v>0</v>
      </c>
      <c r="Q61" s="41" t="s">
        <v>23</v>
      </c>
    </row>
    <row r="62" spans="1:17" ht="12.3">
      <c r="A62" s="44">
        <v>43518</v>
      </c>
      <c r="B62" s="45" t="s">
        <v>29</v>
      </c>
      <c r="C62" s="45" t="s">
        <v>457</v>
      </c>
      <c r="D62" s="46" t="s">
        <v>458</v>
      </c>
      <c r="E62" s="45" t="s">
        <v>362</v>
      </c>
      <c r="F62" s="45" t="s">
        <v>20</v>
      </c>
      <c r="G62" s="45">
        <v>132</v>
      </c>
      <c r="H62" s="45" t="s">
        <v>35</v>
      </c>
      <c r="I62" s="45" t="s">
        <v>459</v>
      </c>
      <c r="J62" s="45" t="s">
        <v>460</v>
      </c>
      <c r="K62" s="4">
        <f t="shared" ref="K62:M62" si="3">SUM(K63:K65)</f>
        <v>1</v>
      </c>
      <c r="L62" s="47">
        <f t="shared" si="3"/>
        <v>9</v>
      </c>
      <c r="M62" s="47">
        <f t="shared" si="3"/>
        <v>40</v>
      </c>
      <c r="N62" s="48">
        <f>LOG(K62+([2]Values!$D$8*L62)+([2]Values!$D$9*M62)+(O62*[2]Values!D$10)+(P62*[2]Values!$D$11)+1)</f>
        <v>0.86851847551887418</v>
      </c>
      <c r="O62" s="45">
        <f t="shared" ref="O62:P62" si="4">SUM(O63:O65)</f>
        <v>224</v>
      </c>
      <c r="P62" s="45">
        <f t="shared" si="4"/>
        <v>10</v>
      </c>
      <c r="Q62" s="49" t="s">
        <v>23</v>
      </c>
    </row>
    <row r="63" spans="1:17" ht="12.3">
      <c r="A63" s="40"/>
      <c r="B63" s="40"/>
      <c r="C63" s="40"/>
      <c r="D63" s="50" t="s">
        <v>458</v>
      </c>
      <c r="E63" s="40"/>
      <c r="F63" s="40"/>
      <c r="G63" s="40"/>
      <c r="H63" s="40"/>
      <c r="I63" s="40"/>
      <c r="J63" s="40"/>
      <c r="K63" s="4"/>
      <c r="L63" s="5"/>
      <c r="M63" s="5"/>
      <c r="N63" s="39">
        <f>LOG(K63+([2]Values!$D$8*L63)+([2]Values!$D$9*M63)+(O63*[2]Values!D$10)+(P63*[2]Values!$D$11)+1)</f>
        <v>2.3374750854863541E-2</v>
      </c>
      <c r="O63" s="40">
        <v>6</v>
      </c>
      <c r="P63" s="40"/>
      <c r="Q63" s="65" t="s">
        <v>23</v>
      </c>
    </row>
    <row r="64" spans="1:17" ht="12.3">
      <c r="A64" s="40"/>
      <c r="B64" s="40"/>
      <c r="C64" s="40"/>
      <c r="D64" s="50" t="s">
        <v>458</v>
      </c>
      <c r="E64" s="40"/>
      <c r="F64" s="40"/>
      <c r="G64" s="40"/>
      <c r="H64" s="40"/>
      <c r="I64" s="40"/>
      <c r="J64" s="40"/>
      <c r="K64" s="4">
        <v>0</v>
      </c>
      <c r="L64" s="5">
        <v>0</v>
      </c>
      <c r="M64" s="5">
        <v>40</v>
      </c>
      <c r="N64" s="39">
        <f>LOG(K64+([2]Values!$D$8*L64)+([2]Values!$D$9*M64)+(O64*[2]Values!D$10)+(P64*[2]Values!$D$11)+1)</f>
        <v>0.34224926426649138</v>
      </c>
      <c r="O64" s="40">
        <v>17</v>
      </c>
      <c r="P64" s="40">
        <v>10</v>
      </c>
      <c r="Q64" s="65" t="s">
        <v>23</v>
      </c>
    </row>
    <row r="65" spans="1:17" ht="12.3">
      <c r="A65" s="40"/>
      <c r="B65" s="40"/>
      <c r="C65" s="40"/>
      <c r="D65" s="50" t="s">
        <v>458</v>
      </c>
      <c r="E65" s="40"/>
      <c r="F65" s="40"/>
      <c r="G65" s="40"/>
      <c r="H65" s="40"/>
      <c r="I65" s="40"/>
      <c r="J65" s="40"/>
      <c r="K65" s="4">
        <v>1</v>
      </c>
      <c r="L65" s="5">
        <v>9</v>
      </c>
      <c r="M65" s="5"/>
      <c r="N65" s="39">
        <f>LOG(K65+([2]Values!$D$8*L65)+([2]Values!$D$9*M65)+(O65*[2]Values!D$10)+(P65*[2]Values!$D$11)+1)</f>
        <v>0.78770398643109896</v>
      </c>
      <c r="O65" s="40">
        <v>201</v>
      </c>
      <c r="P65" s="40"/>
      <c r="Q65" s="65" t="s">
        <v>23</v>
      </c>
    </row>
    <row r="66" spans="1:17" ht="12.3">
      <c r="A66" s="37">
        <v>43518</v>
      </c>
      <c r="B66" s="36" t="s">
        <v>29</v>
      </c>
      <c r="C66" s="36" t="s">
        <v>416</v>
      </c>
      <c r="D66" s="38" t="s">
        <v>304</v>
      </c>
      <c r="E66" s="36" t="s">
        <v>362</v>
      </c>
      <c r="F66" s="36" t="s">
        <v>461</v>
      </c>
      <c r="G66" s="36">
        <v>82</v>
      </c>
      <c r="H66" s="36" t="s">
        <v>35</v>
      </c>
      <c r="I66" s="36" t="s">
        <v>462</v>
      </c>
      <c r="J66" s="36" t="s">
        <v>463</v>
      </c>
      <c r="K66" s="4">
        <v>0</v>
      </c>
      <c r="L66" s="5">
        <v>0</v>
      </c>
      <c r="M66" s="5">
        <v>0</v>
      </c>
      <c r="N66" s="39">
        <f>LOG(K66+([2]Values!$D$8*L66)+([2]Values!$D$9*M66)+(O66*[2]Values!D$10)+(P66*[2]Values!$D$11)+1)</f>
        <v>1.9565284656210144E-2</v>
      </c>
      <c r="O66" s="40">
        <v>5</v>
      </c>
      <c r="P66" s="40">
        <v>0</v>
      </c>
      <c r="Q66" s="41" t="s">
        <v>23</v>
      </c>
    </row>
    <row r="67" spans="1:17" ht="12.3">
      <c r="A67" s="37">
        <v>43519</v>
      </c>
      <c r="B67" s="36" t="s">
        <v>83</v>
      </c>
      <c r="C67" s="36" t="s">
        <v>150</v>
      </c>
      <c r="D67" s="38" t="s">
        <v>464</v>
      </c>
      <c r="E67" s="36" t="s">
        <v>362</v>
      </c>
      <c r="F67" s="36" t="s">
        <v>465</v>
      </c>
      <c r="G67" s="36">
        <v>5</v>
      </c>
      <c r="H67" s="36"/>
      <c r="I67" s="36" t="s">
        <v>466</v>
      </c>
      <c r="J67" s="36" t="s">
        <v>467</v>
      </c>
      <c r="K67" s="4">
        <v>0</v>
      </c>
      <c r="L67" s="5">
        <v>0</v>
      </c>
      <c r="M67" s="5">
        <v>600</v>
      </c>
      <c r="N67" s="39">
        <f>LOG(K67+([2]Values!$D$8*L67)+([2]Values!$D$9*M67)+(O67*[2]Values!D$10)+(P67*[2]Values!$D$11)+1)</f>
        <v>1.4120051527610027</v>
      </c>
      <c r="O67" s="40">
        <v>1500</v>
      </c>
      <c r="P67" s="40"/>
      <c r="Q67" s="41" t="s">
        <v>23</v>
      </c>
    </row>
    <row r="68" spans="1:17" ht="12.3">
      <c r="A68" s="44">
        <v>43521</v>
      </c>
      <c r="B68" s="45" t="s">
        <v>83</v>
      </c>
      <c r="C68" s="45" t="s">
        <v>150</v>
      </c>
      <c r="D68" s="46" t="s">
        <v>336</v>
      </c>
      <c r="E68" s="45" t="s">
        <v>362</v>
      </c>
      <c r="F68" s="45" t="s">
        <v>465</v>
      </c>
      <c r="G68" s="45">
        <v>5</v>
      </c>
      <c r="H68" s="45" t="s">
        <v>123</v>
      </c>
      <c r="I68" s="45" t="s">
        <v>468</v>
      </c>
      <c r="J68" s="45" t="s">
        <v>467</v>
      </c>
      <c r="K68" s="4">
        <v>2</v>
      </c>
      <c r="L68" s="47">
        <v>13</v>
      </c>
      <c r="M68" s="47">
        <v>3200</v>
      </c>
      <c r="N68" s="48">
        <f>LOG(K68+([2]Values!$D$8*L68)+([2]Values!$D$9*M68)+(O68*[2]Values!D$10)+(P68*[2]Values!$D$11)+1)</f>
        <v>2.9088019491285331</v>
      </c>
      <c r="O68" s="45">
        <v>44000</v>
      </c>
      <c r="P68" s="45">
        <v>11000</v>
      </c>
      <c r="Q68" s="49" t="s">
        <v>23</v>
      </c>
    </row>
    <row r="69" spans="1:17" ht="12.3">
      <c r="A69" s="37">
        <v>43523</v>
      </c>
      <c r="B69" s="36" t="s">
        <v>143</v>
      </c>
      <c r="C69" s="36" t="s">
        <v>469</v>
      </c>
      <c r="D69" s="38" t="s">
        <v>470</v>
      </c>
      <c r="E69" s="36" t="s">
        <v>362</v>
      </c>
      <c r="F69" s="36" t="s">
        <v>20</v>
      </c>
      <c r="G69" s="36">
        <v>2</v>
      </c>
      <c r="H69" s="36" t="s">
        <v>134</v>
      </c>
      <c r="I69" s="51">
        <v>51164</v>
      </c>
      <c r="J69" s="38" t="s">
        <v>471</v>
      </c>
      <c r="K69" s="4">
        <v>0</v>
      </c>
      <c r="L69" s="5">
        <v>0</v>
      </c>
      <c r="M69" s="5">
        <v>0</v>
      </c>
      <c r="N69" s="39">
        <f>LOG(K69+([2]Values!$D$8*L69)+([2]Values!$D$9*M69)+(O69*[2]Values!D$10)+(P69*[2]Values!$D$11)+1)</f>
        <v>7.9321952534958575E-3</v>
      </c>
      <c r="O69" s="42">
        <v>2</v>
      </c>
      <c r="P69" s="40">
        <v>0</v>
      </c>
      <c r="Q69" s="41" t="s">
        <v>23</v>
      </c>
    </row>
    <row r="70" spans="1:17" ht="12.3">
      <c r="A70" s="37">
        <v>43523</v>
      </c>
      <c r="B70" s="36" t="s">
        <v>17</v>
      </c>
      <c r="C70" s="36" t="s">
        <v>472</v>
      </c>
      <c r="D70" s="38" t="s">
        <v>428</v>
      </c>
      <c r="E70" s="36" t="s">
        <v>362</v>
      </c>
      <c r="F70" s="36" t="s">
        <v>20</v>
      </c>
      <c r="G70" s="36">
        <v>9</v>
      </c>
      <c r="H70" s="36"/>
      <c r="I70" s="36" t="s">
        <v>473</v>
      </c>
      <c r="J70" s="36" t="s">
        <v>474</v>
      </c>
      <c r="K70" s="4">
        <v>0</v>
      </c>
      <c r="L70" s="5">
        <v>20</v>
      </c>
      <c r="M70" s="5">
        <v>0</v>
      </c>
      <c r="N70" s="39">
        <f>LOG(K70+([2]Values!$D$8*L70)+([2]Values!$D$9*M70)+(O70*[2]Values!D$10)+(P70*[2]Values!$D$11)+1)</f>
        <v>0.79610084021908811</v>
      </c>
      <c r="O70" s="42">
        <v>20</v>
      </c>
      <c r="P70" s="40">
        <v>0</v>
      </c>
      <c r="Q70" s="41" t="s">
        <v>23</v>
      </c>
    </row>
    <row r="71" spans="1:17" ht="12.3">
      <c r="A71" s="37">
        <v>43524</v>
      </c>
      <c r="B71" s="36" t="s">
        <v>44</v>
      </c>
      <c r="C71" s="36" t="s">
        <v>475</v>
      </c>
      <c r="D71" s="38" t="s">
        <v>424</v>
      </c>
      <c r="E71" s="36" t="s">
        <v>362</v>
      </c>
      <c r="F71" s="36" t="s">
        <v>20</v>
      </c>
      <c r="G71" s="36"/>
      <c r="H71" s="36"/>
      <c r="I71" s="36" t="s">
        <v>476</v>
      </c>
      <c r="J71" s="36" t="s">
        <v>477</v>
      </c>
      <c r="K71" s="4">
        <v>0</v>
      </c>
      <c r="L71" s="5">
        <v>61</v>
      </c>
      <c r="M71" s="5">
        <v>190</v>
      </c>
      <c r="N71" s="39">
        <f>LOG(K71+([2]Values!$D$8*L71)+([2]Values!$D$9*M71)+(O71*[2]Values!D$10)+(P71*[2]Values!$D$11)+1)</f>
        <v>1.375698631344646</v>
      </c>
      <c r="O71" s="40">
        <v>316</v>
      </c>
      <c r="P71" s="40">
        <v>29</v>
      </c>
      <c r="Q71" s="41" t="s">
        <v>23</v>
      </c>
    </row>
    <row r="72" spans="1:17" ht="12.3">
      <c r="A72" s="37">
        <v>43525</v>
      </c>
      <c r="B72" s="36" t="s">
        <v>24</v>
      </c>
      <c r="C72" s="36" t="s">
        <v>397</v>
      </c>
      <c r="D72" s="38" t="s">
        <v>297</v>
      </c>
      <c r="E72" s="36" t="s">
        <v>478</v>
      </c>
      <c r="F72" s="36" t="s">
        <v>20</v>
      </c>
      <c r="G72" s="36">
        <v>2</v>
      </c>
      <c r="H72" s="36"/>
      <c r="I72" s="66">
        <v>43727</v>
      </c>
      <c r="J72" s="53" t="s">
        <v>398</v>
      </c>
      <c r="K72" s="4">
        <v>0</v>
      </c>
      <c r="L72" s="5">
        <v>0</v>
      </c>
      <c r="M72" s="5">
        <v>0</v>
      </c>
      <c r="N72" s="39">
        <f>LOG(K72+([2]Values!$D$8*L72)+([2]Values!$D$9*M72)+(O72*[2]Values!D$10)+(P72*[2]Values!$D$11)+1)</f>
        <v>0.1645935225838748</v>
      </c>
      <c r="O72" s="42">
        <v>50</v>
      </c>
      <c r="P72" s="40">
        <v>0</v>
      </c>
      <c r="Q72" s="41" t="s">
        <v>23</v>
      </c>
    </row>
    <row r="73" spans="1:17" ht="12.3">
      <c r="A73" s="44">
        <v>43525</v>
      </c>
      <c r="B73" s="45" t="s">
        <v>72</v>
      </c>
      <c r="C73" s="45" t="s">
        <v>300</v>
      </c>
      <c r="D73" s="46" t="s">
        <v>479</v>
      </c>
      <c r="E73" s="45" t="s">
        <v>362</v>
      </c>
      <c r="F73" s="45" t="s">
        <v>20</v>
      </c>
      <c r="G73" s="45">
        <v>257</v>
      </c>
      <c r="H73" s="45" t="s">
        <v>35</v>
      </c>
      <c r="I73" s="57">
        <v>-14684</v>
      </c>
      <c r="J73" s="57">
        <v>-70127</v>
      </c>
      <c r="K73" s="4">
        <v>1</v>
      </c>
      <c r="L73" s="47">
        <v>2</v>
      </c>
      <c r="M73" s="47"/>
      <c r="N73" s="48">
        <f>LOG(K73+([2]Values!$D$8*L73)+([2]Values!$D$9*M73)+(O73*[2]Values!D$10)+(P73*[2]Values!$D$11)+1)</f>
        <v>0.43143218448659409</v>
      </c>
      <c r="O73" s="45">
        <v>21</v>
      </c>
      <c r="P73" s="45">
        <v>0</v>
      </c>
      <c r="Q73" s="49" t="s">
        <v>23</v>
      </c>
    </row>
    <row r="74" spans="1:17" ht="12.3">
      <c r="A74" s="37">
        <v>43529</v>
      </c>
      <c r="B74" s="36" t="s">
        <v>39</v>
      </c>
      <c r="C74" s="36" t="s">
        <v>99</v>
      </c>
      <c r="D74" s="38" t="s">
        <v>368</v>
      </c>
      <c r="E74" s="36" t="s">
        <v>362</v>
      </c>
      <c r="F74" s="36" t="s">
        <v>20</v>
      </c>
      <c r="G74" s="36">
        <v>17</v>
      </c>
      <c r="H74" s="36"/>
      <c r="I74" s="51">
        <v>36296</v>
      </c>
      <c r="J74" s="51">
        <v>-83736</v>
      </c>
      <c r="K74" s="4">
        <v>0</v>
      </c>
      <c r="L74" s="5">
        <v>0</v>
      </c>
      <c r="M74" s="5">
        <v>0</v>
      </c>
      <c r="N74" s="39">
        <f>LOG(K74+([2]Values!$D$8*L74)+([2]Values!$D$9*M74)+(O74*[2]Values!D$10)+(P74*[2]Values!$D$11)+1)</f>
        <v>3.9842071266415419E-3</v>
      </c>
      <c r="O74" s="40">
        <v>1</v>
      </c>
      <c r="P74" s="40">
        <v>0</v>
      </c>
      <c r="Q74" s="41" t="s">
        <v>23</v>
      </c>
    </row>
    <row r="75" spans="1:17" ht="12.3">
      <c r="A75" s="37">
        <v>43530</v>
      </c>
      <c r="B75" s="36" t="s">
        <v>378</v>
      </c>
      <c r="C75" s="36" t="s">
        <v>480</v>
      </c>
      <c r="D75" s="38" t="s">
        <v>297</v>
      </c>
      <c r="E75" s="36" t="s">
        <v>362</v>
      </c>
      <c r="F75" s="36" t="s">
        <v>20</v>
      </c>
      <c r="G75" s="36">
        <v>4</v>
      </c>
      <c r="H75" s="36"/>
      <c r="I75" s="36" t="s">
        <v>481</v>
      </c>
      <c r="J75" s="36" t="s">
        <v>482</v>
      </c>
      <c r="K75" s="4">
        <v>0</v>
      </c>
      <c r="L75" s="5">
        <v>0</v>
      </c>
      <c r="M75" s="5">
        <v>0</v>
      </c>
      <c r="N75" s="39">
        <f>LOG(K75+([2]Values!$D$8*L75)+([2]Values!$D$9*M75)+(O75*[2]Values!D$10)+(P75*[2]Values!$D$11)+1)</f>
        <v>3.8287005558778897E-2</v>
      </c>
      <c r="O75" s="40">
        <v>10</v>
      </c>
      <c r="P75" s="40">
        <v>0</v>
      </c>
      <c r="Q75" s="41" t="s">
        <v>23</v>
      </c>
    </row>
    <row r="76" spans="1:17" ht="12.3">
      <c r="A76" s="37">
        <v>43531</v>
      </c>
      <c r="B76" s="36" t="s">
        <v>76</v>
      </c>
      <c r="C76" s="36" t="s">
        <v>322</v>
      </c>
      <c r="D76" s="38" t="s">
        <v>294</v>
      </c>
      <c r="E76" s="36" t="s">
        <v>362</v>
      </c>
      <c r="F76" s="36" t="s">
        <v>483</v>
      </c>
      <c r="G76" s="36"/>
      <c r="H76" s="36"/>
      <c r="I76" s="51">
        <v>-38505</v>
      </c>
      <c r="J76" s="51">
        <v>-68908</v>
      </c>
      <c r="K76" s="4">
        <v>0</v>
      </c>
      <c r="L76" s="5">
        <v>0</v>
      </c>
      <c r="M76" s="5">
        <v>0</v>
      </c>
      <c r="N76" s="39">
        <f>LOG(K76+([2]Values!$D$8*L76)+([2]Values!$D$9*M76)+(O76*[2]Values!D$10)+(P76*[2]Values!$D$11)+1)</f>
        <v>7.3470426327456026E-2</v>
      </c>
      <c r="O76" s="42">
        <v>20</v>
      </c>
      <c r="P76" s="40">
        <v>0</v>
      </c>
      <c r="Q76" s="41" t="s">
        <v>23</v>
      </c>
    </row>
    <row r="77" spans="1:17" ht="12.3">
      <c r="A77" s="37">
        <v>43531</v>
      </c>
      <c r="B77" s="36" t="s">
        <v>484</v>
      </c>
      <c r="C77" s="36" t="s">
        <v>485</v>
      </c>
      <c r="D77" s="38" t="s">
        <v>486</v>
      </c>
      <c r="E77" s="36" t="s">
        <v>362</v>
      </c>
      <c r="F77" s="36" t="s">
        <v>20</v>
      </c>
      <c r="G77" s="36">
        <v>12</v>
      </c>
      <c r="H77" s="36"/>
      <c r="I77" s="36" t="s">
        <v>487</v>
      </c>
      <c r="J77" s="36" t="s">
        <v>488</v>
      </c>
      <c r="K77" s="4">
        <v>0</v>
      </c>
      <c r="L77" s="5">
        <v>0</v>
      </c>
      <c r="M77" s="5">
        <v>0</v>
      </c>
      <c r="N77" s="39">
        <f>LOG(K77+([2]Values!$D$8*L77)+([2]Values!$D$9*M77)+(O77*[2]Values!D$10)+(P77*[2]Values!$D$11)+1)</f>
        <v>7.9321952534958575E-3</v>
      </c>
      <c r="O77" s="40">
        <v>2</v>
      </c>
      <c r="P77" s="40">
        <v>0</v>
      </c>
      <c r="Q77" s="41" t="s">
        <v>23</v>
      </c>
    </row>
    <row r="78" spans="1:17" ht="12.3">
      <c r="A78" s="37">
        <v>43531</v>
      </c>
      <c r="B78" s="36" t="s">
        <v>83</v>
      </c>
      <c r="C78" s="36" t="s">
        <v>323</v>
      </c>
      <c r="D78" s="38" t="s">
        <v>428</v>
      </c>
      <c r="E78" s="36" t="s">
        <v>362</v>
      </c>
      <c r="F78" s="36" t="s">
        <v>20</v>
      </c>
      <c r="G78" s="36">
        <v>11</v>
      </c>
      <c r="H78" s="36"/>
      <c r="I78" s="36" t="s">
        <v>489</v>
      </c>
      <c r="J78" s="36" t="s">
        <v>490</v>
      </c>
      <c r="K78" s="4">
        <v>0</v>
      </c>
      <c r="L78" s="5">
        <v>0</v>
      </c>
      <c r="M78" s="5">
        <v>0</v>
      </c>
      <c r="N78" s="39">
        <f>LOG(K78+([2]Values!$D$8*L78)+([2]Values!$D$9*M78)+(O78*[2]Values!D$10)+(P78*[2]Values!$D$11)+1)</f>
        <v>3.8287005558778897E-2</v>
      </c>
      <c r="O78" s="42">
        <v>10</v>
      </c>
      <c r="P78" s="40">
        <v>0</v>
      </c>
      <c r="Q78" s="41" t="s">
        <v>23</v>
      </c>
    </row>
    <row r="79" spans="1:17" ht="12.3">
      <c r="A79" s="37">
        <v>43536</v>
      </c>
      <c r="B79" s="36" t="s">
        <v>39</v>
      </c>
      <c r="C79" s="36" t="s">
        <v>40</v>
      </c>
      <c r="D79" s="38" t="s">
        <v>340</v>
      </c>
      <c r="E79" s="36" t="s">
        <v>362</v>
      </c>
      <c r="F79" s="36" t="s">
        <v>20</v>
      </c>
      <c r="G79" s="36">
        <v>13</v>
      </c>
      <c r="H79" s="36"/>
      <c r="I79" s="36" t="s">
        <v>491</v>
      </c>
      <c r="J79" s="36" t="s">
        <v>492</v>
      </c>
      <c r="K79" s="4">
        <v>0</v>
      </c>
      <c r="L79" s="5">
        <v>0</v>
      </c>
      <c r="M79" s="5">
        <v>0</v>
      </c>
      <c r="N79" s="39">
        <f>LOG(K79+([2]Values!$D$8*L79)+([2]Values!$D$9*M79)+(O79*[2]Values!D$10)+(P79*[2]Values!$D$11)+1)</f>
        <v>1.5722107348246354E-2</v>
      </c>
      <c r="O79" s="40">
        <v>4</v>
      </c>
      <c r="P79" s="40"/>
      <c r="Q79" s="41" t="s">
        <v>23</v>
      </c>
    </row>
    <row r="80" spans="1:17" ht="12.3">
      <c r="A80" s="37">
        <v>43537</v>
      </c>
      <c r="B80" s="36" t="s">
        <v>445</v>
      </c>
      <c r="C80" s="36" t="s">
        <v>446</v>
      </c>
      <c r="D80" s="38" t="s">
        <v>278</v>
      </c>
      <c r="E80" s="36" t="s">
        <v>206</v>
      </c>
      <c r="F80" s="36" t="s">
        <v>20</v>
      </c>
      <c r="G80" s="36"/>
      <c r="H80" s="36"/>
      <c r="I80" s="36" t="s">
        <v>493</v>
      </c>
      <c r="J80" s="36" t="s">
        <v>494</v>
      </c>
      <c r="K80" s="4">
        <v>0</v>
      </c>
      <c r="L80" s="5">
        <v>0</v>
      </c>
      <c r="M80" s="5">
        <v>0</v>
      </c>
      <c r="N80" s="39">
        <f>LOG(K80+([2]Values!$D$8*L80)+([2]Values!$D$9*M80)+(O80*[2]Values!D$10)+(P80*[2]Values!$D$11)+1)</f>
        <v>0.14497749103639512</v>
      </c>
      <c r="O80" s="40">
        <v>43</v>
      </c>
      <c r="P80" s="40">
        <v>0</v>
      </c>
      <c r="Q80" s="41" t="s">
        <v>23</v>
      </c>
    </row>
    <row r="81" spans="1:17" ht="12.3">
      <c r="A81" s="37">
        <v>43538</v>
      </c>
      <c r="B81" s="36" t="s">
        <v>445</v>
      </c>
      <c r="C81" s="36" t="s">
        <v>446</v>
      </c>
      <c r="D81" s="38" t="s">
        <v>486</v>
      </c>
      <c r="E81" s="36" t="s">
        <v>206</v>
      </c>
      <c r="F81" s="36" t="s">
        <v>20</v>
      </c>
      <c r="G81" s="36"/>
      <c r="H81" s="36"/>
      <c r="I81" s="36" t="s">
        <v>493</v>
      </c>
      <c r="J81" s="36" t="s">
        <v>494</v>
      </c>
      <c r="K81" s="4">
        <v>0</v>
      </c>
      <c r="L81" s="5">
        <v>0</v>
      </c>
      <c r="M81" s="5">
        <v>1</v>
      </c>
      <c r="N81" s="39">
        <f>LOG(K81+([2]Values!$D$8*L81)+([2]Values!$D$9*M81)+(O81*[2]Values!D$10)+(P81*[2]Values!$D$11)+1)</f>
        <v>0.2242616131965712</v>
      </c>
      <c r="O81" s="40">
        <v>68</v>
      </c>
      <c r="P81" s="40">
        <v>1</v>
      </c>
      <c r="Q81" s="41" t="s">
        <v>23</v>
      </c>
    </row>
    <row r="82" spans="1:17" ht="12.3">
      <c r="A82" s="37">
        <v>43538</v>
      </c>
      <c r="B82" s="36" t="s">
        <v>72</v>
      </c>
      <c r="C82" s="36" t="s">
        <v>495</v>
      </c>
      <c r="D82" s="38" t="s">
        <v>486</v>
      </c>
      <c r="E82" s="36" t="s">
        <v>19</v>
      </c>
      <c r="F82" s="36" t="s">
        <v>20</v>
      </c>
      <c r="G82" s="36"/>
      <c r="H82" s="36"/>
      <c r="I82" s="36" t="s">
        <v>496</v>
      </c>
      <c r="J82" s="36" t="s">
        <v>497</v>
      </c>
      <c r="K82" s="4">
        <v>0</v>
      </c>
      <c r="L82" s="5">
        <v>0</v>
      </c>
      <c r="M82" s="5">
        <v>4</v>
      </c>
      <c r="N82" s="39">
        <f>LOG(K82+([2]Values!$D$8*L82)+([2]Values!$D$9*M82)+(O82*[2]Values!D$10)+(P82*[2]Values!$D$11)+1)</f>
        <v>9.8635256946110278E-2</v>
      </c>
      <c r="O82" s="40">
        <v>13</v>
      </c>
      <c r="P82" s="40">
        <v>2</v>
      </c>
      <c r="Q82" s="41" t="s">
        <v>23</v>
      </c>
    </row>
    <row r="83" spans="1:17" ht="12.3">
      <c r="A83" s="37">
        <v>43540</v>
      </c>
      <c r="B83" s="36" t="s">
        <v>24</v>
      </c>
      <c r="C83" s="36" t="s">
        <v>271</v>
      </c>
      <c r="D83" s="38" t="s">
        <v>486</v>
      </c>
      <c r="E83" s="36" t="s">
        <v>19</v>
      </c>
      <c r="F83" s="36" t="s">
        <v>20</v>
      </c>
      <c r="G83" s="36"/>
      <c r="H83" s="36"/>
      <c r="I83" s="36" t="s">
        <v>498</v>
      </c>
      <c r="J83" s="36" t="s">
        <v>499</v>
      </c>
      <c r="K83" s="4">
        <v>0</v>
      </c>
      <c r="L83" s="5">
        <v>0</v>
      </c>
      <c r="M83" s="5">
        <v>0</v>
      </c>
      <c r="N83" s="39">
        <f>LOG(K83+([2]Values!$D$8*L83)+([2]Values!$D$9*M83)+(O83*[2]Values!D$10)+(P83*[2]Values!$D$11)+1)</f>
        <v>1.9565284656210144E-2</v>
      </c>
      <c r="O83" s="40">
        <v>5</v>
      </c>
      <c r="P83" s="40">
        <v>0</v>
      </c>
      <c r="Q83" s="41" t="s">
        <v>23</v>
      </c>
    </row>
    <row r="84" spans="1:17" ht="12.3">
      <c r="A84" s="37">
        <v>43540</v>
      </c>
      <c r="B84" s="36" t="s">
        <v>216</v>
      </c>
      <c r="C84" s="36" t="s">
        <v>356</v>
      </c>
      <c r="D84" s="38" t="s">
        <v>78</v>
      </c>
      <c r="E84" s="36" t="s">
        <v>19</v>
      </c>
      <c r="F84" s="36" t="s">
        <v>20</v>
      </c>
      <c r="G84" s="36"/>
      <c r="H84" s="36"/>
      <c r="I84" s="36" t="s">
        <v>500</v>
      </c>
      <c r="J84" s="36" t="s">
        <v>501</v>
      </c>
      <c r="K84" s="4">
        <v>0</v>
      </c>
      <c r="L84" s="5">
        <v>0</v>
      </c>
      <c r="M84" s="5">
        <v>0</v>
      </c>
      <c r="N84" s="39">
        <f>LOG(K84+([2]Values!$D$8*L84)+([2]Values!$D$9*M84)+(O84*[2]Values!D$10)+(P84*[2]Values!$D$11)+1)</f>
        <v>3.8287005558778897E-2</v>
      </c>
      <c r="O84" s="42">
        <v>10</v>
      </c>
      <c r="P84" s="40"/>
      <c r="Q84" s="41" t="s">
        <v>23</v>
      </c>
    </row>
    <row r="85" spans="1:17" ht="12.3">
      <c r="A85" s="44">
        <v>43541</v>
      </c>
      <c r="B85" s="45" t="s">
        <v>44</v>
      </c>
      <c r="C85" s="45" t="s">
        <v>502</v>
      </c>
      <c r="D85" s="46" t="s">
        <v>304</v>
      </c>
      <c r="E85" s="45" t="s">
        <v>19</v>
      </c>
      <c r="F85" s="45" t="s">
        <v>20</v>
      </c>
      <c r="G85" s="45"/>
      <c r="H85" s="45" t="s">
        <v>123</v>
      </c>
      <c r="I85" s="45" t="s">
        <v>503</v>
      </c>
      <c r="J85" s="45" t="s">
        <v>504</v>
      </c>
      <c r="K85" s="4">
        <v>9</v>
      </c>
      <c r="L85" s="47">
        <v>156</v>
      </c>
      <c r="M85" s="47">
        <v>2108</v>
      </c>
      <c r="N85" s="48">
        <f>LOG(K85+([2]Values!$D$8*L85)+([2]Values!$D$9*M85)+(O85*[2]Values!D$10)+(P85*[2]Values!$D$11)+1)</f>
        <v>2.17601422902993</v>
      </c>
      <c r="O85" s="45">
        <v>3766</v>
      </c>
      <c r="P85" s="45">
        <v>876</v>
      </c>
      <c r="Q85" s="49" t="s">
        <v>23</v>
      </c>
    </row>
    <row r="86" spans="1:17" ht="12.3">
      <c r="A86" s="37">
        <v>43543</v>
      </c>
      <c r="B86" s="36" t="s">
        <v>44</v>
      </c>
      <c r="C86" s="36" t="s">
        <v>505</v>
      </c>
      <c r="D86" s="38" t="s">
        <v>428</v>
      </c>
      <c r="E86" s="36" t="s">
        <v>19</v>
      </c>
      <c r="F86" s="36" t="s">
        <v>20</v>
      </c>
      <c r="G86" s="36"/>
      <c r="H86" s="36"/>
      <c r="I86" s="36" t="s">
        <v>506</v>
      </c>
      <c r="J86" s="36" t="s">
        <v>507</v>
      </c>
      <c r="K86" s="4">
        <v>0</v>
      </c>
      <c r="L86" s="5">
        <v>0</v>
      </c>
      <c r="M86" s="5">
        <v>0</v>
      </c>
      <c r="N86" s="39">
        <f>LOG(K86+([2]Values!$D$8*L86)+([2]Values!$D$9*M86)+(O86*[2]Values!D$10)+(P86*[2]Values!$D$11)+1)</f>
        <v>5.9737166562992834E-2</v>
      </c>
      <c r="O86" s="40">
        <v>16</v>
      </c>
      <c r="P86" s="40">
        <v>0</v>
      </c>
      <c r="Q86" s="41" t="s">
        <v>23</v>
      </c>
    </row>
    <row r="87" spans="1:17" ht="12.3">
      <c r="A87" s="37">
        <v>43544</v>
      </c>
      <c r="B87" s="36" t="s">
        <v>105</v>
      </c>
      <c r="C87" s="36" t="s">
        <v>508</v>
      </c>
      <c r="D87" s="50" t="s">
        <v>509</v>
      </c>
      <c r="E87" s="36" t="s">
        <v>19</v>
      </c>
      <c r="F87" s="36" t="s">
        <v>20</v>
      </c>
      <c r="G87" s="36">
        <v>7</v>
      </c>
      <c r="H87" s="36"/>
      <c r="I87" s="36" t="s">
        <v>510</v>
      </c>
      <c r="J87" s="36" t="s">
        <v>511</v>
      </c>
      <c r="K87" s="4">
        <v>0</v>
      </c>
      <c r="L87" s="5">
        <v>22</v>
      </c>
      <c r="M87" s="5">
        <v>600</v>
      </c>
      <c r="N87" s="39">
        <f>LOG(K87+([2]Values!$D$8*L87)+([2]Values!$D$9*M87)+(O87*[2]Values!D$10)+(P87*[2]Values!$D$11)+1)</f>
        <v>1.4229246477528652</v>
      </c>
      <c r="O87" s="40">
        <v>500</v>
      </c>
      <c r="P87" s="40">
        <v>139</v>
      </c>
      <c r="Q87" s="41" t="s">
        <v>23</v>
      </c>
    </row>
    <row r="88" spans="1:17" ht="12.3">
      <c r="A88" s="37">
        <v>43544</v>
      </c>
      <c r="B88" s="36" t="s">
        <v>512</v>
      </c>
      <c r="C88" s="36" t="s">
        <v>513</v>
      </c>
      <c r="D88" s="38" t="s">
        <v>336</v>
      </c>
      <c r="E88" s="36" t="s">
        <v>19</v>
      </c>
      <c r="F88" s="36" t="s">
        <v>20</v>
      </c>
      <c r="G88" s="36"/>
      <c r="H88" s="36"/>
      <c r="I88" s="36" t="s">
        <v>514</v>
      </c>
      <c r="J88" s="36" t="s">
        <v>515</v>
      </c>
      <c r="K88" s="4">
        <v>0</v>
      </c>
      <c r="L88" s="5">
        <v>0</v>
      </c>
      <c r="M88" s="5">
        <v>0</v>
      </c>
      <c r="N88" s="39">
        <f>LOG(K88+([2]Values!$D$8*L88)+([2]Values!$D$9*M88)+(O88*[2]Values!D$10)+(P88*[2]Values!$D$11)+1)</f>
        <v>1.1844616960551136E-2</v>
      </c>
      <c r="O88" s="40">
        <v>3</v>
      </c>
      <c r="P88" s="40">
        <v>0</v>
      </c>
      <c r="Q88" s="41" t="s">
        <v>23</v>
      </c>
    </row>
    <row r="89" spans="1:17" ht="12.3">
      <c r="A89" s="37">
        <v>43545</v>
      </c>
      <c r="B89" s="36" t="s">
        <v>105</v>
      </c>
      <c r="C89" s="36" t="s">
        <v>209</v>
      </c>
      <c r="D89" s="38" t="s">
        <v>278</v>
      </c>
      <c r="E89" s="36" t="s">
        <v>19</v>
      </c>
      <c r="F89" s="36" t="s">
        <v>20</v>
      </c>
      <c r="G89" s="36"/>
      <c r="H89" s="36"/>
      <c r="I89" s="36" t="s">
        <v>516</v>
      </c>
      <c r="J89" s="36" t="s">
        <v>517</v>
      </c>
      <c r="K89" s="4">
        <v>0</v>
      </c>
      <c r="L89" s="5">
        <v>0</v>
      </c>
      <c r="M89" s="5">
        <v>0</v>
      </c>
      <c r="N89" s="39">
        <f>LOG(K89+([2]Values!$D$8*L89)+([2]Values!$D$9*M89)+(O89*[2]Values!D$10)+(P89*[2]Values!$D$11)+1)</f>
        <v>3.0894879830772423E-2</v>
      </c>
      <c r="O89" s="40">
        <v>8</v>
      </c>
      <c r="P89" s="40">
        <v>0</v>
      </c>
      <c r="Q89" s="41" t="s">
        <v>23</v>
      </c>
    </row>
    <row r="90" spans="1:17" ht="12.3">
      <c r="A90" s="44">
        <v>43545</v>
      </c>
      <c r="B90" s="45" t="s">
        <v>262</v>
      </c>
      <c r="C90" s="45" t="s">
        <v>518</v>
      </c>
      <c r="D90" s="46" t="s">
        <v>375</v>
      </c>
      <c r="E90" s="45" t="s">
        <v>19</v>
      </c>
      <c r="F90" s="45" t="s">
        <v>20</v>
      </c>
      <c r="G90" s="45"/>
      <c r="H90" s="45"/>
      <c r="I90" s="45" t="s">
        <v>519</v>
      </c>
      <c r="J90" s="45" t="s">
        <v>520</v>
      </c>
      <c r="K90" s="4">
        <f t="shared" ref="K90:M90" si="5">SUM(K91:K92)</f>
        <v>1</v>
      </c>
      <c r="L90" s="47">
        <f t="shared" si="5"/>
        <v>0</v>
      </c>
      <c r="M90" s="47">
        <f t="shared" si="5"/>
        <v>0</v>
      </c>
      <c r="N90" s="48">
        <f>LOG(K90+([2]Values!$D$8*L90)+([2]Values!$D$9*M90)+(O90*[2]Values!D$10)+(P90*[2]Values!$D$11)+1)</f>
        <v>0.37351934395848663</v>
      </c>
      <c r="O90" s="62">
        <f t="shared" ref="O90:P90" si="6">SUM(O91:O92)</f>
        <v>26</v>
      </c>
      <c r="P90" s="62">
        <f t="shared" si="6"/>
        <v>4</v>
      </c>
      <c r="Q90" s="41" t="s">
        <v>23</v>
      </c>
    </row>
    <row r="91" spans="1:17" ht="12.3">
      <c r="A91" s="36"/>
      <c r="B91" s="36"/>
      <c r="C91" s="36"/>
      <c r="D91" s="50" t="s">
        <v>375</v>
      </c>
      <c r="E91" s="36"/>
      <c r="F91" s="36"/>
      <c r="G91" s="36"/>
      <c r="H91" s="36"/>
      <c r="I91" s="36"/>
      <c r="J91" s="36"/>
      <c r="K91" s="4">
        <v>1</v>
      </c>
      <c r="L91" s="5"/>
      <c r="M91" s="5"/>
      <c r="N91" s="39">
        <f>LOG(K91+([2]Values!$D$8*L91)+([2]Values!$D$9*M91)+(O91*[2]Values!D$10)+(P91*[2]Values!$D$11)+1)</f>
        <v>0.37182241219031908</v>
      </c>
      <c r="O91" s="40">
        <v>25</v>
      </c>
      <c r="P91" s="40">
        <v>4</v>
      </c>
      <c r="Q91" s="41" t="s">
        <v>23</v>
      </c>
    </row>
    <row r="92" spans="1:17" ht="12.3">
      <c r="A92" s="36"/>
      <c r="B92" s="36"/>
      <c r="C92" s="36"/>
      <c r="D92" s="50" t="s">
        <v>375</v>
      </c>
      <c r="E92" s="36"/>
      <c r="F92" s="36"/>
      <c r="G92" s="36"/>
      <c r="H92" s="36"/>
      <c r="I92" s="36"/>
      <c r="J92" s="36"/>
      <c r="K92" s="4">
        <v>0</v>
      </c>
      <c r="L92" s="5">
        <v>0</v>
      </c>
      <c r="M92" s="5">
        <v>0</v>
      </c>
      <c r="N92" s="39">
        <f>LOG(K92+([2]Values!$D$8*L92)+([2]Values!$D$9*M92)+(O92*[2]Values!D$10)+(P92*[2]Values!$D$11)+1)</f>
        <v>3.9842071266415419E-3</v>
      </c>
      <c r="O92" s="40">
        <v>1</v>
      </c>
      <c r="P92" s="40">
        <v>0</v>
      </c>
      <c r="Q92" s="41" t="s">
        <v>23</v>
      </c>
    </row>
    <row r="93" spans="1:17" ht="12.3">
      <c r="A93" s="37">
        <v>43545</v>
      </c>
      <c r="B93" s="36" t="s">
        <v>44</v>
      </c>
      <c r="C93" s="36" t="s">
        <v>57</v>
      </c>
      <c r="D93" s="50" t="s">
        <v>464</v>
      </c>
      <c r="E93" s="36" t="s">
        <v>19</v>
      </c>
      <c r="F93" s="36" t="s">
        <v>20</v>
      </c>
      <c r="G93" s="36"/>
      <c r="H93" s="36"/>
      <c r="I93" s="36" t="s">
        <v>522</v>
      </c>
      <c r="J93" s="36" t="s">
        <v>523</v>
      </c>
      <c r="K93" s="4">
        <v>0</v>
      </c>
      <c r="L93" s="5">
        <v>0</v>
      </c>
      <c r="M93" s="5">
        <v>0</v>
      </c>
      <c r="N93" s="39">
        <f>LOG(K93+([2]Values!$D$8*L93)+([2]Values!$D$9*M93)+(O93*[2]Values!D$10)+(P93*[2]Values!$D$11)+1)</f>
        <v>3.9842071266415419E-3</v>
      </c>
      <c r="O93" s="40">
        <v>1</v>
      </c>
      <c r="P93" s="40">
        <v>0</v>
      </c>
      <c r="Q93" s="41" t="s">
        <v>23</v>
      </c>
    </row>
    <row r="94" spans="1:17" ht="12.3">
      <c r="A94" s="37">
        <v>43547</v>
      </c>
      <c r="B94" s="36" t="s">
        <v>378</v>
      </c>
      <c r="C94" s="36" t="s">
        <v>524</v>
      </c>
      <c r="D94" s="50" t="s">
        <v>525</v>
      </c>
      <c r="E94" s="36" t="s">
        <v>19</v>
      </c>
      <c r="F94" s="36" t="s">
        <v>20</v>
      </c>
      <c r="G94" s="36">
        <v>122</v>
      </c>
      <c r="H94" s="36"/>
      <c r="I94" s="36" t="s">
        <v>526</v>
      </c>
      <c r="J94" s="36" t="s">
        <v>527</v>
      </c>
      <c r="K94" s="4">
        <v>0</v>
      </c>
      <c r="L94" s="5">
        <v>2</v>
      </c>
      <c r="M94" s="5">
        <v>0</v>
      </c>
      <c r="N94" s="39">
        <f>LOG(K94+([2]Values!$D$8*L94)+([2]Values!$D$9*M94)+(O94*[2]Values!D$10)+(P94*[2]Values!$D$11)+1)</f>
        <v>0.23987235597742051</v>
      </c>
      <c r="O94" s="42">
        <v>25</v>
      </c>
      <c r="P94" s="40">
        <v>0</v>
      </c>
      <c r="Q94" s="41" t="s">
        <v>23</v>
      </c>
    </row>
    <row r="95" spans="1:17" ht="12.3">
      <c r="A95" s="37">
        <v>43548</v>
      </c>
      <c r="B95" s="36" t="s">
        <v>44</v>
      </c>
      <c r="C95" s="36" t="s">
        <v>528</v>
      </c>
      <c r="D95" s="50" t="s">
        <v>375</v>
      </c>
      <c r="E95" s="36" t="s">
        <v>19</v>
      </c>
      <c r="F95" s="36" t="s">
        <v>20</v>
      </c>
      <c r="G95" s="36"/>
      <c r="H95" s="36"/>
      <c r="I95" s="36" t="s">
        <v>529</v>
      </c>
      <c r="J95" s="36" t="s">
        <v>530</v>
      </c>
      <c r="K95" s="4">
        <v>0</v>
      </c>
      <c r="L95" s="5">
        <v>0</v>
      </c>
      <c r="M95" s="5">
        <v>0</v>
      </c>
      <c r="N95" s="39">
        <f>LOG(K95+([2]Values!$D$8*L95)+([2]Values!$D$9*M95)+(O95*[2]Values!D$10)+(P95*[2]Values!$D$11)+1)</f>
        <v>0.24833802448993783</v>
      </c>
      <c r="O95" s="40">
        <v>77</v>
      </c>
      <c r="P95" s="40">
        <v>2</v>
      </c>
      <c r="Q95" s="41" t="s">
        <v>23</v>
      </c>
    </row>
    <row r="96" spans="1:17" ht="12.3">
      <c r="A96" s="37">
        <v>43548</v>
      </c>
      <c r="B96" s="36" t="s">
        <v>531</v>
      </c>
      <c r="C96" s="36" t="s">
        <v>532</v>
      </c>
      <c r="D96" s="38" t="s">
        <v>294</v>
      </c>
      <c r="E96" s="36" t="s">
        <v>19</v>
      </c>
      <c r="F96" s="36" t="s">
        <v>20</v>
      </c>
      <c r="G96" s="36"/>
      <c r="H96" s="36"/>
      <c r="I96" s="36" t="s">
        <v>533</v>
      </c>
      <c r="J96" s="36" t="s">
        <v>534</v>
      </c>
      <c r="K96" s="4">
        <v>0</v>
      </c>
      <c r="L96" s="5">
        <v>0</v>
      </c>
      <c r="M96" s="5">
        <v>0</v>
      </c>
      <c r="N96" s="39">
        <f>LOG(K96+([2]Values!$D$8*L96)+([2]Values!$D$9*M96)+(O96*[2]Values!D$10)+(P96*[2]Values!$D$11)+1)</f>
        <v>5.6234907072035586E-2</v>
      </c>
      <c r="O96" s="42">
        <v>15</v>
      </c>
      <c r="P96" s="40">
        <v>0</v>
      </c>
      <c r="Q96" s="41" t="s">
        <v>23</v>
      </c>
    </row>
    <row r="97" spans="1:17" ht="12.3">
      <c r="A97" s="37">
        <v>43549</v>
      </c>
      <c r="B97" s="36" t="s">
        <v>105</v>
      </c>
      <c r="C97" s="36" t="s">
        <v>209</v>
      </c>
      <c r="D97" s="38" t="s">
        <v>535</v>
      </c>
      <c r="E97" s="36" t="s">
        <v>19</v>
      </c>
      <c r="F97" s="36" t="s">
        <v>20</v>
      </c>
      <c r="G97" s="36"/>
      <c r="H97" s="36"/>
      <c r="I97" s="36" t="s">
        <v>536</v>
      </c>
      <c r="J97" s="36" t="s">
        <v>537</v>
      </c>
      <c r="K97" s="4">
        <v>0</v>
      </c>
      <c r="L97" s="5">
        <v>1</v>
      </c>
      <c r="M97" s="43">
        <v>200</v>
      </c>
      <c r="N97" s="39">
        <f>LOG(K97+([2]Values!$D$8*L97)+([2]Values!$D$9*M97)+(O97*[2]Values!D$10)+(P97*[2]Values!$D$11)+1)</f>
        <v>1.0163607487558994</v>
      </c>
      <c r="O97" s="42">
        <v>93</v>
      </c>
      <c r="P97" s="40">
        <v>149</v>
      </c>
      <c r="Q97" s="41" t="s">
        <v>23</v>
      </c>
    </row>
    <row r="98" spans="1:17" ht="12.3">
      <c r="A98" s="37">
        <v>43551</v>
      </c>
      <c r="B98" s="36" t="s">
        <v>83</v>
      </c>
      <c r="C98" s="36" t="s">
        <v>538</v>
      </c>
      <c r="D98" s="38" t="s">
        <v>78</v>
      </c>
      <c r="E98" s="36" t="s">
        <v>19</v>
      </c>
      <c r="F98" s="36" t="s">
        <v>20</v>
      </c>
      <c r="G98" s="36">
        <v>9</v>
      </c>
      <c r="H98" s="36"/>
      <c r="I98" s="36" t="s">
        <v>539</v>
      </c>
      <c r="J98" s="36" t="s">
        <v>540</v>
      </c>
      <c r="K98" s="4">
        <v>0</v>
      </c>
      <c r="L98" s="5">
        <v>0</v>
      </c>
      <c r="M98" s="5">
        <v>0</v>
      </c>
      <c r="N98" s="39">
        <f>LOG(K98+([2]Values!$D$8*L98)+([2]Values!$D$9*M98)+(O98*[2]Values!D$10)+(P98*[2]Values!$D$11)+1)</f>
        <v>7.3470426327456026E-2</v>
      </c>
      <c r="O98" s="42">
        <v>20</v>
      </c>
      <c r="P98" s="40">
        <v>0</v>
      </c>
      <c r="Q98" s="41" t="s">
        <v>23</v>
      </c>
    </row>
    <row r="99" spans="1:17" ht="12.3">
      <c r="A99" s="37">
        <v>43554</v>
      </c>
      <c r="B99" s="36" t="s">
        <v>156</v>
      </c>
      <c r="C99" s="36" t="s">
        <v>541</v>
      </c>
      <c r="D99" s="38" t="s">
        <v>424</v>
      </c>
      <c r="E99" s="36" t="s">
        <v>19</v>
      </c>
      <c r="F99" s="36" t="s">
        <v>20</v>
      </c>
      <c r="G99" s="36"/>
      <c r="H99" s="36"/>
      <c r="I99" s="36" t="s">
        <v>542</v>
      </c>
      <c r="J99" s="36" t="s">
        <v>543</v>
      </c>
      <c r="K99" s="4">
        <v>0</v>
      </c>
      <c r="L99" s="5">
        <v>0</v>
      </c>
      <c r="M99" s="5">
        <v>0</v>
      </c>
      <c r="N99" s="39">
        <f>LOG(K99+([2]Values!$D$8*L99)+([2]Values!$D$9*M99)+(O99*[2]Values!D$10)+(P99*[2]Values!$D$11)+1)</f>
        <v>1.9565284656210144E-2</v>
      </c>
      <c r="O99" s="42">
        <v>5</v>
      </c>
      <c r="P99" s="40">
        <v>0</v>
      </c>
      <c r="Q99" s="41" t="s">
        <v>23</v>
      </c>
    </row>
    <row r="100" spans="1:17" ht="12.3">
      <c r="A100" s="37">
        <v>43555</v>
      </c>
      <c r="B100" s="36" t="s">
        <v>29</v>
      </c>
      <c r="C100" s="36" t="s">
        <v>544</v>
      </c>
      <c r="D100" s="50" t="s">
        <v>545</v>
      </c>
      <c r="E100" s="36" t="s">
        <v>19</v>
      </c>
      <c r="F100" s="36" t="s">
        <v>20</v>
      </c>
      <c r="G100" s="36"/>
      <c r="H100" s="36"/>
      <c r="I100" s="36" t="s">
        <v>546</v>
      </c>
      <c r="J100" s="36" t="s">
        <v>547</v>
      </c>
      <c r="K100" s="4">
        <v>0</v>
      </c>
      <c r="L100" s="5">
        <v>0</v>
      </c>
      <c r="M100" s="5">
        <v>20</v>
      </c>
      <c r="N100" s="39">
        <f>LOG(K100+([2]Values!$D$8*L100)+([2]Values!$D$9*M100)+(O100*[2]Values!D$10)+(P100*[2]Values!$D$11)+1)</f>
        <v>0.25615302029045656</v>
      </c>
      <c r="O100" s="40">
        <v>34</v>
      </c>
      <c r="P100" s="40">
        <v>4</v>
      </c>
      <c r="Q100" s="41" t="s">
        <v>23</v>
      </c>
    </row>
    <row r="101" spans="1:17" ht="12.3">
      <c r="A101" s="37">
        <v>43556</v>
      </c>
      <c r="B101" s="36" t="s">
        <v>17</v>
      </c>
      <c r="C101" s="36" t="s">
        <v>472</v>
      </c>
      <c r="D101" s="38" t="s">
        <v>391</v>
      </c>
      <c r="E101" s="36" t="s">
        <v>19</v>
      </c>
      <c r="F101" s="36" t="s">
        <v>20</v>
      </c>
      <c r="G101" s="36"/>
      <c r="H101" s="36"/>
      <c r="I101" s="36" t="s">
        <v>548</v>
      </c>
      <c r="J101" s="36" t="s">
        <v>549</v>
      </c>
      <c r="K101" s="4">
        <v>0</v>
      </c>
      <c r="L101" s="5">
        <v>0</v>
      </c>
      <c r="M101" s="5">
        <v>0</v>
      </c>
      <c r="N101" s="39">
        <f>LOG(K101+([2]Values!$D$8*L101)+([2]Values!$D$9*M101)+(O101*[2]Values!D$10)+(P101*[2]Values!$D$11)+1)</f>
        <v>7.9321952534958575E-3</v>
      </c>
      <c r="O101" s="40">
        <v>2</v>
      </c>
      <c r="P101" s="40">
        <v>0</v>
      </c>
      <c r="Q101" s="41" t="s">
        <v>23</v>
      </c>
    </row>
    <row r="102" spans="1:17" ht="12.3">
      <c r="A102" s="37">
        <v>43556</v>
      </c>
      <c r="B102" s="36" t="s">
        <v>165</v>
      </c>
      <c r="C102" s="36" t="s">
        <v>550</v>
      </c>
      <c r="D102" s="38" t="s">
        <v>486</v>
      </c>
      <c r="E102" s="36" t="s">
        <v>19</v>
      </c>
      <c r="F102" s="36" t="s">
        <v>20</v>
      </c>
      <c r="G102" s="36">
        <v>26</v>
      </c>
      <c r="H102" s="36"/>
      <c r="I102" s="67">
        <v>43722</v>
      </c>
      <c r="J102" s="36" t="s">
        <v>551</v>
      </c>
      <c r="K102" s="4">
        <v>0</v>
      </c>
      <c r="L102" s="5">
        <v>0</v>
      </c>
      <c r="M102" s="5">
        <v>0</v>
      </c>
      <c r="N102" s="39">
        <f>LOG(K102+([2]Values!$D$8*L102)+([2]Values!$D$9*M102)+(O102*[2]Values!D$10)+(P102*[2]Values!$D$11)+1)</f>
        <v>1.9565284656210144E-2</v>
      </c>
      <c r="O102" s="42">
        <v>5</v>
      </c>
      <c r="P102" s="40">
        <v>0</v>
      </c>
      <c r="Q102" s="41" t="s">
        <v>23</v>
      </c>
    </row>
    <row r="103" spans="1:17" ht="12.3">
      <c r="A103" s="37">
        <v>43557</v>
      </c>
      <c r="B103" s="36" t="s">
        <v>44</v>
      </c>
      <c r="C103" s="36" t="s">
        <v>552</v>
      </c>
      <c r="D103" s="38" t="s">
        <v>336</v>
      </c>
      <c r="E103" s="36" t="s">
        <v>206</v>
      </c>
      <c r="F103" s="36" t="s">
        <v>20</v>
      </c>
      <c r="G103" s="36"/>
      <c r="H103" s="36"/>
      <c r="I103" s="36" t="s">
        <v>553</v>
      </c>
      <c r="J103" s="36" t="s">
        <v>554</v>
      </c>
      <c r="K103" s="4">
        <v>0</v>
      </c>
      <c r="L103" s="5">
        <v>2</v>
      </c>
      <c r="M103" s="5">
        <v>0</v>
      </c>
      <c r="N103" s="39">
        <f>LOG(K103+([2]Values!$D$8*L103)+([2]Values!$D$9*M103)+(O103*[2]Values!D$10)+(P103*[2]Values!$D$11)+1)</f>
        <v>0.38698386820119512</v>
      </c>
      <c r="O103" s="40">
        <v>101</v>
      </c>
      <c r="P103" s="40">
        <v>0</v>
      </c>
      <c r="Q103" s="41" t="s">
        <v>23</v>
      </c>
    </row>
    <row r="104" spans="1:17" ht="12.3">
      <c r="A104" s="37">
        <v>43559</v>
      </c>
      <c r="B104" s="36" t="s">
        <v>105</v>
      </c>
      <c r="C104" s="36" t="s">
        <v>122</v>
      </c>
      <c r="D104" s="38" t="s">
        <v>391</v>
      </c>
      <c r="E104" s="36" t="s">
        <v>19</v>
      </c>
      <c r="F104" s="36" t="s">
        <v>20</v>
      </c>
      <c r="G104" s="36"/>
      <c r="H104" s="36"/>
      <c r="I104" s="36" t="s">
        <v>555</v>
      </c>
      <c r="J104" s="36" t="s">
        <v>556</v>
      </c>
      <c r="K104" s="4">
        <v>0</v>
      </c>
      <c r="L104" s="5">
        <v>0</v>
      </c>
      <c r="M104" s="5">
        <v>1000</v>
      </c>
      <c r="N104" s="39">
        <f>LOG(K104+([2]Values!$D$8*L104)+([2]Values!$D$9*M104)+(O104*[2]Values!D$10)+(P104*[2]Values!$D$11)+1)</f>
        <v>1.6160777013643208</v>
      </c>
      <c r="O104" s="42">
        <v>778</v>
      </c>
      <c r="P104" s="40">
        <v>479</v>
      </c>
      <c r="Q104" s="41" t="s">
        <v>23</v>
      </c>
    </row>
    <row r="105" spans="1:17" ht="12.3">
      <c r="A105" s="37">
        <v>43566</v>
      </c>
      <c r="B105" s="36" t="s">
        <v>72</v>
      </c>
      <c r="C105" s="36" t="s">
        <v>374</v>
      </c>
      <c r="D105" s="38" t="s">
        <v>285</v>
      </c>
      <c r="E105" s="36" t="s">
        <v>19</v>
      </c>
      <c r="F105" s="36" t="s">
        <v>20</v>
      </c>
      <c r="G105" s="36">
        <v>63</v>
      </c>
      <c r="H105" s="36"/>
      <c r="I105" s="36" t="s">
        <v>557</v>
      </c>
      <c r="J105" s="36" t="s">
        <v>558</v>
      </c>
      <c r="K105" s="4">
        <v>0</v>
      </c>
      <c r="L105" s="5">
        <v>1</v>
      </c>
      <c r="M105" s="5">
        <v>0</v>
      </c>
      <c r="N105" s="39">
        <f>LOG(K105+([2]Values!$D$8*L105)+([2]Values!$D$9*M105)+(O105*[2]Values!D$10)+(P105*[2]Values!$D$11)+1)</f>
        <v>0.10444447224502636</v>
      </c>
      <c r="O105" s="42">
        <v>2</v>
      </c>
      <c r="P105" s="40">
        <v>0</v>
      </c>
      <c r="Q105" s="41" t="s">
        <v>23</v>
      </c>
    </row>
    <row r="106" spans="1:17" ht="12.3">
      <c r="A106" s="44">
        <v>43567</v>
      </c>
      <c r="B106" s="45" t="s">
        <v>44</v>
      </c>
      <c r="C106" s="45" t="s">
        <v>559</v>
      </c>
      <c r="D106" s="46" t="s">
        <v>560</v>
      </c>
      <c r="E106" s="45" t="s">
        <v>19</v>
      </c>
      <c r="F106" s="45" t="s">
        <v>20</v>
      </c>
      <c r="G106" s="45">
        <v>17</v>
      </c>
      <c r="H106" s="45" t="s">
        <v>123</v>
      </c>
      <c r="I106" s="45" t="s">
        <v>561</v>
      </c>
      <c r="J106" s="45" t="s">
        <v>562</v>
      </c>
      <c r="K106" s="4">
        <v>1</v>
      </c>
      <c r="L106" s="47">
        <v>2</v>
      </c>
      <c r="M106" s="47"/>
      <c r="N106" s="48">
        <f>LOG(K106+([2]Values!$D$8*L106)+([2]Values!$D$9*M106)+(O106*[2]Values!D$10)+(P106*[2]Values!$D$11)+1)</f>
        <v>0.45452235277425379</v>
      </c>
      <c r="O106" s="45">
        <v>37</v>
      </c>
      <c r="P106" s="45"/>
      <c r="Q106" s="49" t="s">
        <v>23</v>
      </c>
    </row>
    <row r="107" spans="1:17" ht="12.3">
      <c r="A107" s="37">
        <v>43570</v>
      </c>
      <c r="B107" s="36" t="s">
        <v>105</v>
      </c>
      <c r="C107" s="36" t="s">
        <v>209</v>
      </c>
      <c r="D107" s="38" t="s">
        <v>340</v>
      </c>
      <c r="E107" s="36" t="s">
        <v>19</v>
      </c>
      <c r="F107" s="36" t="s">
        <v>20</v>
      </c>
      <c r="G107" s="36">
        <v>2</v>
      </c>
      <c r="H107" s="36"/>
      <c r="I107" s="36" t="s">
        <v>563</v>
      </c>
      <c r="J107" s="36" t="s">
        <v>564</v>
      </c>
      <c r="K107" s="4">
        <v>0</v>
      </c>
      <c r="L107" s="5">
        <v>0</v>
      </c>
      <c r="M107" s="5">
        <v>0</v>
      </c>
      <c r="N107" s="39">
        <f>LOG(K107+([2]Values!$D$8*L107)+([2]Values!$D$9*M107)+(O107*[2]Values!D$10)+(P107*[2]Values!$D$11)+1)</f>
        <v>7.3470426327456026E-2</v>
      </c>
      <c r="O107" s="42">
        <v>20</v>
      </c>
      <c r="P107" s="40">
        <v>0</v>
      </c>
      <c r="Q107" s="41" t="s">
        <v>23</v>
      </c>
    </row>
    <row r="108" spans="1:17" ht="12.3">
      <c r="A108" s="37">
        <v>43570</v>
      </c>
      <c r="B108" s="36" t="s">
        <v>17</v>
      </c>
      <c r="C108" s="36" t="s">
        <v>303</v>
      </c>
      <c r="D108" s="38" t="s">
        <v>297</v>
      </c>
      <c r="E108" s="36" t="s">
        <v>206</v>
      </c>
      <c r="F108" s="36" t="s">
        <v>20</v>
      </c>
      <c r="G108" s="36">
        <v>13</v>
      </c>
      <c r="H108" s="36"/>
      <c r="I108" s="36" t="s">
        <v>565</v>
      </c>
      <c r="J108" s="36" t="s">
        <v>566</v>
      </c>
      <c r="K108" s="4">
        <v>0</v>
      </c>
      <c r="L108" s="5">
        <v>1</v>
      </c>
      <c r="M108" s="5">
        <v>0</v>
      </c>
      <c r="N108" s="39">
        <f>LOG(K108+([2]Values!$D$8*L108)+([2]Values!$D$9*M108)+(O108*[2]Values!D$10)+(P108*[2]Values!$D$11)+1)</f>
        <v>9.8104502484878398E-2</v>
      </c>
      <c r="O108" s="40">
        <v>0</v>
      </c>
      <c r="P108" s="40">
        <v>0</v>
      </c>
      <c r="Q108" s="41" t="s">
        <v>23</v>
      </c>
    </row>
    <row r="109" spans="1:17" ht="12.3">
      <c r="A109" s="37">
        <v>43572</v>
      </c>
      <c r="B109" s="36" t="s">
        <v>72</v>
      </c>
      <c r="C109" s="36" t="s">
        <v>567</v>
      </c>
      <c r="D109" s="38" t="s">
        <v>304</v>
      </c>
      <c r="E109" s="36" t="s">
        <v>19</v>
      </c>
      <c r="F109" s="36" t="s">
        <v>20</v>
      </c>
      <c r="G109" s="36">
        <v>85</v>
      </c>
      <c r="H109" s="36"/>
      <c r="I109" s="36" t="s">
        <v>568</v>
      </c>
      <c r="J109" s="36" t="s">
        <v>569</v>
      </c>
      <c r="K109" s="4">
        <v>0</v>
      </c>
      <c r="L109" s="5">
        <v>24</v>
      </c>
      <c r="M109" s="5">
        <v>0</v>
      </c>
      <c r="N109" s="39">
        <f>LOG(K109+([2]Values!$D$8*L109)+([2]Values!$D$9*M109)+(O109*[2]Values!D$10)+(P109*[2]Values!$D$11)+1)</f>
        <v>0.85019430848368172</v>
      </c>
      <c r="O109" s="40">
        <v>0</v>
      </c>
      <c r="P109" s="40">
        <v>0</v>
      </c>
      <c r="Q109" s="41" t="s">
        <v>23</v>
      </c>
    </row>
    <row r="110" spans="1:17" ht="12.3">
      <c r="A110" s="44">
        <v>43573</v>
      </c>
      <c r="B110" s="45" t="s">
        <v>570</v>
      </c>
      <c r="C110" s="45" t="s">
        <v>571</v>
      </c>
      <c r="D110" s="46" t="s">
        <v>408</v>
      </c>
      <c r="E110" s="45" t="s">
        <v>19</v>
      </c>
      <c r="F110" s="45" t="s">
        <v>20</v>
      </c>
      <c r="G110" s="45">
        <v>19</v>
      </c>
      <c r="H110" s="45" t="s">
        <v>363</v>
      </c>
      <c r="I110" s="45" t="s">
        <v>572</v>
      </c>
      <c r="J110" s="60">
        <v>43762</v>
      </c>
      <c r="K110" s="4">
        <v>1</v>
      </c>
      <c r="L110" s="47">
        <v>16</v>
      </c>
      <c r="M110" s="47">
        <v>0</v>
      </c>
      <c r="N110" s="48">
        <f>LOG(K110+([2]Values!$D$8*L110)+([2]Values!$D$9*M110)+(O110*[2]Values!D$10)+(P110*[2]Values!$D$11)+1)</f>
        <v>0.84365020881306729</v>
      </c>
      <c r="O110" s="62">
        <v>100</v>
      </c>
      <c r="P110" s="45"/>
      <c r="Q110" s="49" t="s">
        <v>23</v>
      </c>
    </row>
    <row r="111" spans="1:17" ht="12.3">
      <c r="A111" s="37">
        <v>43575</v>
      </c>
      <c r="B111" s="36" t="s">
        <v>24</v>
      </c>
      <c r="C111" s="36" t="s">
        <v>573</v>
      </c>
      <c r="D111" s="38" t="s">
        <v>428</v>
      </c>
      <c r="E111" s="36" t="s">
        <v>19</v>
      </c>
      <c r="F111" s="36" t="s">
        <v>20</v>
      </c>
      <c r="G111" s="36">
        <v>18</v>
      </c>
      <c r="H111" s="36"/>
      <c r="I111" s="67">
        <v>43699</v>
      </c>
      <c r="J111" s="36" t="s">
        <v>574</v>
      </c>
      <c r="K111" s="4">
        <v>0</v>
      </c>
      <c r="L111" s="5">
        <v>0</v>
      </c>
      <c r="M111" s="5">
        <v>0</v>
      </c>
      <c r="N111" s="39">
        <f>LOG(K111+([2]Values!$D$8*L111)+([2]Values!$D$9*M111)+(O111*[2]Values!D$10)+(P111*[2]Values!$D$11)+1)</f>
        <v>9.0047962293937675E-2</v>
      </c>
      <c r="O111" s="42">
        <v>25</v>
      </c>
      <c r="P111" s="40">
        <v>0</v>
      </c>
      <c r="Q111" s="41" t="s">
        <v>23</v>
      </c>
    </row>
    <row r="112" spans="1:17" ht="12.3">
      <c r="A112" s="44">
        <v>43577</v>
      </c>
      <c r="B112" s="45" t="s">
        <v>62</v>
      </c>
      <c r="C112" s="45" t="s">
        <v>575</v>
      </c>
      <c r="D112" s="46" t="s">
        <v>408</v>
      </c>
      <c r="E112" s="45" t="s">
        <v>19</v>
      </c>
      <c r="F112" s="45" t="s">
        <v>20</v>
      </c>
      <c r="G112" s="45">
        <v>10</v>
      </c>
      <c r="H112" s="45" t="s">
        <v>123</v>
      </c>
      <c r="I112" s="57">
        <v>14940</v>
      </c>
      <c r="J112" s="57">
        <v>120493</v>
      </c>
      <c r="K112" s="4">
        <v>18</v>
      </c>
      <c r="L112" s="47">
        <v>256</v>
      </c>
      <c r="M112" s="47">
        <v>9556</v>
      </c>
      <c r="N112" s="48">
        <f>LOG(K112+([2]Values!$D$8*L112)+([2]Values!$D$9*M112)+(O112*[2]Values!D$10)+(P112*[2]Values!$D$11)+1)</f>
        <v>2.5124896508154424</v>
      </c>
      <c r="O112" s="45">
        <v>3464</v>
      </c>
      <c r="P112" s="45">
        <v>1115</v>
      </c>
      <c r="Q112" s="49" t="s">
        <v>23</v>
      </c>
    </row>
    <row r="113" spans="1:17" ht="12.3">
      <c r="A113" s="37">
        <v>43578</v>
      </c>
      <c r="B113" s="36" t="s">
        <v>62</v>
      </c>
      <c r="C113" s="36" t="s">
        <v>576</v>
      </c>
      <c r="D113" s="50" t="s">
        <v>308</v>
      </c>
      <c r="E113" s="36" t="s">
        <v>19</v>
      </c>
      <c r="F113" s="36" t="s">
        <v>20</v>
      </c>
      <c r="G113" s="36">
        <v>61</v>
      </c>
      <c r="H113" s="36" t="s">
        <v>35</v>
      </c>
      <c r="I113" s="36" t="s">
        <v>577</v>
      </c>
      <c r="J113" s="36" t="s">
        <v>578</v>
      </c>
      <c r="K113" s="4">
        <v>0</v>
      </c>
      <c r="L113" s="5">
        <v>48</v>
      </c>
      <c r="M113" s="5">
        <v>1008</v>
      </c>
      <c r="N113" s="39">
        <f>LOG(K113+([2]Values!$D$8*L113)+([2]Values!$D$9*M113)+(O113*[2]Values!D$10)+(P113*[2]Values!$D$11)+1)</f>
        <v>1.530489379639427</v>
      </c>
      <c r="O113" s="40">
        <v>244</v>
      </c>
      <c r="P113" s="40">
        <v>1</v>
      </c>
      <c r="Q113" s="41" t="s">
        <v>23</v>
      </c>
    </row>
    <row r="114" spans="1:17" ht="12.3">
      <c r="A114" s="37">
        <v>43578</v>
      </c>
      <c r="B114" s="36" t="s">
        <v>24</v>
      </c>
      <c r="C114" s="36" t="s">
        <v>579</v>
      </c>
      <c r="D114" s="50" t="s">
        <v>580</v>
      </c>
      <c r="E114" s="36" t="s">
        <v>19</v>
      </c>
      <c r="F114" s="36" t="s">
        <v>20</v>
      </c>
      <c r="G114" s="36">
        <v>14</v>
      </c>
      <c r="H114" s="36" t="s">
        <v>123</v>
      </c>
      <c r="I114" s="51">
        <v>28416</v>
      </c>
      <c r="J114" s="51">
        <v>94601</v>
      </c>
      <c r="K114" s="4">
        <v>0</v>
      </c>
      <c r="L114" s="5">
        <v>0</v>
      </c>
      <c r="M114" s="5">
        <v>0</v>
      </c>
      <c r="N114" s="39">
        <f>LOG(K114+([2]Values!$D$8*L114)+([2]Values!$D$9*M114)+(O114*[2]Values!D$10)+(P114*[2]Values!$D$11)+1)</f>
        <v>0.1170075136705466</v>
      </c>
      <c r="O114" s="40"/>
      <c r="P114" s="42">
        <v>10</v>
      </c>
      <c r="Q114" s="41" t="s">
        <v>23</v>
      </c>
    </row>
    <row r="115" spans="1:17" ht="12.3">
      <c r="A115" s="37">
        <v>43587</v>
      </c>
      <c r="B115" s="36" t="s">
        <v>83</v>
      </c>
      <c r="C115" s="36" t="s">
        <v>150</v>
      </c>
      <c r="D115" s="38" t="s">
        <v>535</v>
      </c>
      <c r="E115" s="36" t="s">
        <v>19</v>
      </c>
      <c r="F115" s="36" t="s">
        <v>20</v>
      </c>
      <c r="G115" s="36">
        <v>14</v>
      </c>
      <c r="H115" s="36"/>
      <c r="I115" s="36" t="s">
        <v>581</v>
      </c>
      <c r="J115" s="36" t="s">
        <v>582</v>
      </c>
      <c r="K115" s="4">
        <v>0</v>
      </c>
      <c r="L115" s="5">
        <v>0</v>
      </c>
      <c r="M115" s="5">
        <v>0</v>
      </c>
      <c r="N115" s="39">
        <f>LOG(K115+([2]Values!$D$8*L115)+([2]Values!$D$9*M115)+(O115*[2]Values!D$10)+(P115*[2]Values!$D$11)+1)</f>
        <v>1.9565284656210144E-2</v>
      </c>
      <c r="O115" s="42">
        <v>5</v>
      </c>
      <c r="P115" s="40">
        <v>0</v>
      </c>
      <c r="Q115" s="41" t="s">
        <v>23</v>
      </c>
    </row>
    <row r="116" spans="1:17" ht="12.3">
      <c r="A116" s="64">
        <v>43591</v>
      </c>
      <c r="B116" s="40" t="s">
        <v>583</v>
      </c>
      <c r="C116" s="40" t="s">
        <v>584</v>
      </c>
      <c r="D116" s="50" t="s">
        <v>585</v>
      </c>
      <c r="E116" s="40" t="s">
        <v>19</v>
      </c>
      <c r="F116" s="40" t="s">
        <v>20</v>
      </c>
      <c r="G116" s="40">
        <v>127</v>
      </c>
      <c r="H116" s="40" t="s">
        <v>123</v>
      </c>
      <c r="I116" s="40" t="s">
        <v>586</v>
      </c>
      <c r="J116" s="40" t="s">
        <v>587</v>
      </c>
      <c r="K116" s="4">
        <v>0</v>
      </c>
      <c r="L116" s="5"/>
      <c r="M116" s="5">
        <v>500</v>
      </c>
      <c r="N116" s="39">
        <f>LOG(K116+([2]Values!$D$8*L116)+([2]Values!$D$9*M116)+(O116*[2]Values!D$10)+(P116*[2]Values!$D$11)+1)</f>
        <v>1.1518349754762645</v>
      </c>
      <c r="O116" s="42"/>
      <c r="P116" s="40">
        <v>130</v>
      </c>
      <c r="Q116" s="65" t="s">
        <v>588</v>
      </c>
    </row>
    <row r="117" spans="1:17" ht="12.3">
      <c r="A117" s="37">
        <v>43594</v>
      </c>
      <c r="B117" s="36" t="s">
        <v>258</v>
      </c>
      <c r="C117" s="36" t="s">
        <v>589</v>
      </c>
      <c r="D117" s="50" t="s">
        <v>408</v>
      </c>
      <c r="E117" s="36" t="s">
        <v>19</v>
      </c>
      <c r="F117" s="36" t="s">
        <v>20</v>
      </c>
      <c r="G117" s="36">
        <v>23</v>
      </c>
      <c r="H117" s="36" t="s">
        <v>590</v>
      </c>
      <c r="I117" s="51">
        <v>31782</v>
      </c>
      <c r="J117" s="51">
        <v>131854</v>
      </c>
      <c r="K117" s="4">
        <v>0</v>
      </c>
      <c r="L117" s="5">
        <v>2</v>
      </c>
      <c r="M117" s="5">
        <v>0</v>
      </c>
      <c r="N117" s="39">
        <f>LOG(K117+([2]Values!$D$8*L117)+([2]Values!$D$9*M117)+(O117*[2]Values!D$10)+(P117*[2]Values!$D$11)+1)</f>
        <v>0.18072833031650518</v>
      </c>
      <c r="O117" s="40">
        <v>1</v>
      </c>
      <c r="P117" s="40">
        <v>0</v>
      </c>
      <c r="Q117" s="41" t="s">
        <v>23</v>
      </c>
    </row>
    <row r="118" spans="1:17" ht="12.3">
      <c r="A118" s="37">
        <v>43597</v>
      </c>
      <c r="B118" s="36" t="s">
        <v>591</v>
      </c>
      <c r="C118" s="36" t="s">
        <v>592</v>
      </c>
      <c r="D118" s="38" t="s">
        <v>545</v>
      </c>
      <c r="E118" s="36" t="s">
        <v>19</v>
      </c>
      <c r="F118" s="36" t="s">
        <v>20</v>
      </c>
      <c r="G118" s="36"/>
      <c r="H118" s="36"/>
      <c r="I118" s="51">
        <v>8609</v>
      </c>
      <c r="J118" s="51">
        <v>-82839</v>
      </c>
      <c r="K118" s="4">
        <v>0</v>
      </c>
      <c r="L118" s="5">
        <v>5</v>
      </c>
      <c r="M118" s="5">
        <v>62</v>
      </c>
      <c r="N118" s="39">
        <f>LOG(K118+([2]Values!$D$8*L118)+([2]Values!$D$9*M118)+(O118*[2]Values!D$10)+(P118*[2]Values!$D$11)+1)</f>
        <v>0.61404378515400737</v>
      </c>
      <c r="O118" s="42">
        <v>50</v>
      </c>
      <c r="P118" s="40">
        <v>8</v>
      </c>
      <c r="Q118" s="41" t="s">
        <v>23</v>
      </c>
    </row>
    <row r="119" spans="1:17" ht="12.3">
      <c r="A119" s="37">
        <v>43598</v>
      </c>
      <c r="B119" s="36" t="s">
        <v>72</v>
      </c>
      <c r="C119" s="36" t="s">
        <v>593</v>
      </c>
      <c r="D119" s="38" t="s">
        <v>391</v>
      </c>
      <c r="E119" s="36" t="s">
        <v>19</v>
      </c>
      <c r="F119" s="36" t="s">
        <v>20</v>
      </c>
      <c r="G119" s="36">
        <v>99</v>
      </c>
      <c r="H119" s="36"/>
      <c r="I119" s="36" t="s">
        <v>594</v>
      </c>
      <c r="J119" s="36" t="s">
        <v>595</v>
      </c>
      <c r="K119" s="4">
        <v>0</v>
      </c>
      <c r="L119" s="5">
        <v>0</v>
      </c>
      <c r="M119" s="5">
        <v>0</v>
      </c>
      <c r="N119" s="39">
        <f>LOG(K119+([2]Values!$D$8*L119)+([2]Values!$D$9*M119)+(O119*[2]Values!D$10)+(P119*[2]Values!$D$11)+1)</f>
        <v>7.9321952534958575E-3</v>
      </c>
      <c r="O119" s="40">
        <v>2</v>
      </c>
      <c r="P119" s="40">
        <v>0</v>
      </c>
      <c r="Q119" s="41" t="s">
        <v>23</v>
      </c>
    </row>
    <row r="120" spans="1:17" ht="12.3">
      <c r="A120" s="64">
        <v>43599</v>
      </c>
      <c r="B120" s="40" t="s">
        <v>583</v>
      </c>
      <c r="C120" s="40" t="s">
        <v>596</v>
      </c>
      <c r="D120" s="50" t="s">
        <v>458</v>
      </c>
      <c r="E120" s="40" t="s">
        <v>19</v>
      </c>
      <c r="F120" s="40" t="s">
        <v>20</v>
      </c>
      <c r="G120" s="40">
        <v>24</v>
      </c>
      <c r="H120" s="40"/>
      <c r="I120" s="40" t="s">
        <v>597</v>
      </c>
      <c r="J120" s="40" t="s">
        <v>598</v>
      </c>
      <c r="K120" s="4">
        <v>0</v>
      </c>
      <c r="L120" s="5">
        <v>1</v>
      </c>
      <c r="M120" s="43">
        <v>800</v>
      </c>
      <c r="N120" s="39">
        <f>LOG(K120+([2]Values!$D$8*L120)+([2]Values!$D$9*M120)+(O120*[2]Values!D$10)+(P120*[2]Values!$D$11)+1)</f>
        <v>1.3096035740009615</v>
      </c>
      <c r="O120" s="42">
        <v>50</v>
      </c>
      <c r="P120" s="40">
        <v>130</v>
      </c>
      <c r="Q120" s="65" t="s">
        <v>23</v>
      </c>
    </row>
    <row r="121" spans="1:17" ht="12.3">
      <c r="A121" s="37">
        <v>43600</v>
      </c>
      <c r="B121" s="36" t="s">
        <v>599</v>
      </c>
      <c r="C121" s="36" t="s">
        <v>600</v>
      </c>
      <c r="D121" s="38" t="s">
        <v>428</v>
      </c>
      <c r="E121" s="36" t="s">
        <v>19</v>
      </c>
      <c r="F121" s="36" t="s">
        <v>20</v>
      </c>
      <c r="G121" s="36"/>
      <c r="H121" s="36"/>
      <c r="I121" s="36" t="s">
        <v>601</v>
      </c>
      <c r="J121" s="36" t="s">
        <v>602</v>
      </c>
      <c r="K121" s="4">
        <v>0</v>
      </c>
      <c r="L121" s="5">
        <v>0</v>
      </c>
      <c r="M121" s="5">
        <v>0</v>
      </c>
      <c r="N121" s="39">
        <f>LOG(K121+([2]Values!$D$8*L121)+([2]Values!$D$9*M121)+(O121*[2]Values!D$10)+(P121*[2]Values!$D$11)+1)</f>
        <v>1.9565284656210144E-2</v>
      </c>
      <c r="O121" s="42">
        <v>5</v>
      </c>
      <c r="P121" s="40">
        <v>0</v>
      </c>
      <c r="Q121" s="41" t="s">
        <v>23</v>
      </c>
    </row>
    <row r="122" spans="1:17" ht="12.3">
      <c r="A122" s="37">
        <v>43600</v>
      </c>
      <c r="B122" s="36" t="s">
        <v>83</v>
      </c>
      <c r="C122" s="36" t="s">
        <v>323</v>
      </c>
      <c r="D122" s="38" t="s">
        <v>464</v>
      </c>
      <c r="E122" s="36" t="s">
        <v>19</v>
      </c>
      <c r="F122" s="36" t="s">
        <v>20</v>
      </c>
      <c r="G122" s="36">
        <v>10</v>
      </c>
      <c r="H122" s="36"/>
      <c r="I122" s="59">
        <v>43674</v>
      </c>
      <c r="J122" s="36" t="s">
        <v>603</v>
      </c>
      <c r="K122" s="4">
        <v>0</v>
      </c>
      <c r="L122" s="5">
        <v>0</v>
      </c>
      <c r="M122" s="5">
        <v>0</v>
      </c>
      <c r="N122" s="39">
        <f>LOG(K122+([2]Values!$D$8*L122)+([2]Values!$D$9*M122)+(O122*[2]Values!D$10)+(P122*[2]Values!$D$11)+1)</f>
        <v>6.6658078324828202E-2</v>
      </c>
      <c r="O122" s="40">
        <v>18</v>
      </c>
      <c r="P122" s="40">
        <v>0</v>
      </c>
      <c r="Q122" s="41" t="s">
        <v>23</v>
      </c>
    </row>
    <row r="123" spans="1:17" ht="12.3">
      <c r="A123" s="37">
        <v>43601</v>
      </c>
      <c r="B123" s="36" t="s">
        <v>604</v>
      </c>
      <c r="C123" s="36" t="s">
        <v>600</v>
      </c>
      <c r="D123" s="50" t="s">
        <v>364</v>
      </c>
      <c r="E123" s="36" t="s">
        <v>19</v>
      </c>
      <c r="F123" s="36" t="s">
        <v>20</v>
      </c>
      <c r="G123" s="36">
        <v>71</v>
      </c>
      <c r="H123" s="36"/>
      <c r="I123" s="51">
        <v>12677</v>
      </c>
      <c r="J123" s="51">
        <v>-87779</v>
      </c>
      <c r="K123" s="4">
        <v>0</v>
      </c>
      <c r="L123" s="5">
        <v>0</v>
      </c>
      <c r="M123" s="5"/>
      <c r="N123" s="39">
        <f>LOG(K123+([2]Values!$D$8*L123)+([2]Values!$D$9*M123)+(O123*[2]Values!D$10)+(P123*[2]Values!$D$11)+1)</f>
        <v>5.6234907072035586E-2</v>
      </c>
      <c r="O123" s="40">
        <v>15</v>
      </c>
      <c r="P123" s="40"/>
      <c r="Q123" s="41" t="s">
        <v>23</v>
      </c>
    </row>
    <row r="124" spans="1:17" ht="12.3">
      <c r="A124" s="37">
        <v>43602</v>
      </c>
      <c r="B124" s="36" t="s">
        <v>83</v>
      </c>
      <c r="C124" s="36" t="s">
        <v>605</v>
      </c>
      <c r="D124" s="38" t="s">
        <v>312</v>
      </c>
      <c r="E124" s="36" t="s">
        <v>19</v>
      </c>
      <c r="F124" s="36" t="s">
        <v>20</v>
      </c>
      <c r="G124" s="36">
        <v>10</v>
      </c>
      <c r="H124" s="36"/>
      <c r="I124" s="36" t="s">
        <v>606</v>
      </c>
      <c r="J124" s="36" t="s">
        <v>607</v>
      </c>
      <c r="K124" s="4">
        <v>0</v>
      </c>
      <c r="L124" s="5">
        <v>0</v>
      </c>
      <c r="M124" s="5">
        <v>79</v>
      </c>
      <c r="N124" s="39">
        <f>LOG(K124+([2]Values!$D$8*L124)+([2]Values!$D$9*M124)+(O124*[2]Values!D$10)+(P124*[2]Values!$D$11)+1)</f>
        <v>0.67242086045381944</v>
      </c>
      <c r="O124" s="40">
        <v>134</v>
      </c>
      <c r="P124" s="40">
        <v>33</v>
      </c>
      <c r="Q124" s="41" t="s">
        <v>23</v>
      </c>
    </row>
    <row r="125" spans="1:17" ht="12.3">
      <c r="A125" s="37">
        <v>43605</v>
      </c>
      <c r="B125" s="36" t="s">
        <v>608</v>
      </c>
      <c r="C125" s="36" t="s">
        <v>609</v>
      </c>
      <c r="D125" s="38" t="s">
        <v>428</v>
      </c>
      <c r="E125" s="36" t="s">
        <v>19</v>
      </c>
      <c r="F125" s="36" t="s">
        <v>20</v>
      </c>
      <c r="G125" s="36">
        <v>111</v>
      </c>
      <c r="H125" s="36"/>
      <c r="I125" s="36" t="s">
        <v>610</v>
      </c>
      <c r="J125" s="36" t="s">
        <v>611</v>
      </c>
      <c r="K125" s="4">
        <v>0</v>
      </c>
      <c r="L125" s="5">
        <v>0</v>
      </c>
      <c r="M125" s="5">
        <v>0</v>
      </c>
      <c r="N125" s="39">
        <f>LOG(K125+([2]Values!$D$8*L125)+([2]Values!$D$9*M125)+(O125*[2]Values!D$10)+(P125*[2]Values!$D$11)+1)</f>
        <v>5.6234907072035586E-2</v>
      </c>
      <c r="O125" s="42">
        <v>15</v>
      </c>
      <c r="P125" s="40">
        <v>0</v>
      </c>
      <c r="Q125" s="41" t="s">
        <v>23</v>
      </c>
    </row>
    <row r="126" spans="1:17" ht="12.3">
      <c r="A126" s="37">
        <v>43606</v>
      </c>
      <c r="B126" s="36" t="s">
        <v>199</v>
      </c>
      <c r="C126" s="36" t="s">
        <v>612</v>
      </c>
      <c r="D126" s="38" t="s">
        <v>330</v>
      </c>
      <c r="E126" s="36" t="s">
        <v>19</v>
      </c>
      <c r="F126" s="36" t="s">
        <v>20</v>
      </c>
      <c r="G126" s="36">
        <v>34</v>
      </c>
      <c r="H126" s="36"/>
      <c r="I126" s="36" t="s">
        <v>613</v>
      </c>
      <c r="J126" s="36" t="s">
        <v>614</v>
      </c>
      <c r="K126" s="4">
        <v>0</v>
      </c>
      <c r="L126" s="5">
        <v>0</v>
      </c>
      <c r="M126" s="5">
        <v>0</v>
      </c>
      <c r="N126" s="39">
        <f>LOG(K126+([2]Values!$D$8*L126)+([2]Values!$D$9*M126)+(O126*[2]Values!D$10)+(P126*[2]Values!$D$11)+1)</f>
        <v>3.9842071266415419E-3</v>
      </c>
      <c r="O126" s="40">
        <v>1</v>
      </c>
      <c r="P126" s="40">
        <v>0</v>
      </c>
      <c r="Q126" s="41" t="s">
        <v>23</v>
      </c>
    </row>
    <row r="127" spans="1:17" ht="12.3">
      <c r="A127" s="37">
        <v>43607</v>
      </c>
      <c r="B127" s="36" t="s">
        <v>615</v>
      </c>
      <c r="C127" s="36" t="s">
        <v>616</v>
      </c>
      <c r="D127" s="38" t="s">
        <v>368</v>
      </c>
      <c r="E127" s="36" t="s">
        <v>19</v>
      </c>
      <c r="F127" s="36" t="s">
        <v>617</v>
      </c>
      <c r="G127" s="36">
        <v>3</v>
      </c>
      <c r="H127" s="36" t="s">
        <v>618</v>
      </c>
      <c r="I127" s="36" t="s">
        <v>619</v>
      </c>
      <c r="J127" s="36" t="s">
        <v>620</v>
      </c>
      <c r="K127" s="4">
        <v>0</v>
      </c>
      <c r="L127" s="5">
        <v>0</v>
      </c>
      <c r="M127" s="5">
        <v>0</v>
      </c>
      <c r="N127" s="39">
        <f>LOG(K127+([2]Values!$D$8*L127)+([2]Values!$D$9*M127)+(O127*[2]Values!D$10)+(P127*[2]Values!$D$11)+1)</f>
        <v>1.6583225449435441</v>
      </c>
      <c r="O127" s="40">
        <v>4832</v>
      </c>
      <c r="P127" s="40">
        <v>0</v>
      </c>
      <c r="Q127" s="41" t="s">
        <v>23</v>
      </c>
    </row>
    <row r="128" spans="1:17" ht="12.3">
      <c r="A128" s="37">
        <v>43610</v>
      </c>
      <c r="B128" s="36" t="s">
        <v>172</v>
      </c>
      <c r="C128" s="36" t="s">
        <v>621</v>
      </c>
      <c r="D128" s="38" t="s">
        <v>340</v>
      </c>
      <c r="E128" s="36" t="s">
        <v>19</v>
      </c>
      <c r="F128" s="36" t="s">
        <v>20</v>
      </c>
      <c r="G128" s="36">
        <v>5</v>
      </c>
      <c r="H128" s="36" t="s">
        <v>622</v>
      </c>
      <c r="I128" s="36" t="s">
        <v>623</v>
      </c>
      <c r="J128" s="36" t="s">
        <v>624</v>
      </c>
      <c r="K128" s="4">
        <v>0</v>
      </c>
      <c r="L128" s="5">
        <v>0</v>
      </c>
      <c r="M128" s="5">
        <v>0</v>
      </c>
      <c r="N128" s="39">
        <f>LOG(K128+([2]Values!$D$8*L128)+([2]Values!$D$9*M128)+(O128*[2]Values!D$10)+(P128*[2]Values!$D$11)+1)</f>
        <v>8.678269164447508E-2</v>
      </c>
      <c r="O128" s="40">
        <v>24</v>
      </c>
      <c r="P128" s="40">
        <v>0</v>
      </c>
      <c r="Q128" s="41" t="s">
        <v>23</v>
      </c>
    </row>
    <row r="129" spans="1:17" ht="12.3">
      <c r="A129" s="37">
        <v>43610</v>
      </c>
      <c r="B129" s="36" t="s">
        <v>72</v>
      </c>
      <c r="C129" s="36" t="s">
        <v>600</v>
      </c>
      <c r="D129" s="38" t="s">
        <v>464</v>
      </c>
      <c r="E129" s="36" t="s">
        <v>19</v>
      </c>
      <c r="F129" s="36" t="s">
        <v>20</v>
      </c>
      <c r="G129" s="36">
        <v>34</v>
      </c>
      <c r="H129" s="36"/>
      <c r="I129" s="36" t="s">
        <v>625</v>
      </c>
      <c r="J129" s="36" t="s">
        <v>626</v>
      </c>
      <c r="K129" s="4">
        <v>0</v>
      </c>
      <c r="L129" s="5">
        <v>0</v>
      </c>
      <c r="M129" s="5">
        <v>0</v>
      </c>
      <c r="N129" s="39">
        <f>LOG(K129+([2]Values!$D$8*L129)+([2]Values!$D$9*M129)+(O129*[2]Values!D$10)+(P129*[2]Values!$D$11)+1)</f>
        <v>7.9321952534958575E-3</v>
      </c>
      <c r="O129" s="40">
        <v>2</v>
      </c>
      <c r="P129" s="40">
        <v>0</v>
      </c>
      <c r="Q129" s="41" t="s">
        <v>23</v>
      </c>
    </row>
    <row r="130" spans="1:17" ht="12.3">
      <c r="A130" s="37">
        <v>43611</v>
      </c>
      <c r="B130" s="36" t="s">
        <v>24</v>
      </c>
      <c r="C130" s="36" t="s">
        <v>627</v>
      </c>
      <c r="D130" s="38" t="s">
        <v>464</v>
      </c>
      <c r="E130" s="36" t="s">
        <v>19</v>
      </c>
      <c r="F130" s="36" t="s">
        <v>20</v>
      </c>
      <c r="G130" s="36"/>
      <c r="H130" s="36"/>
      <c r="I130" s="36" t="s">
        <v>628</v>
      </c>
      <c r="J130" s="36" t="s">
        <v>629</v>
      </c>
      <c r="K130" s="4"/>
      <c r="L130" s="5"/>
      <c r="M130" s="5"/>
      <c r="N130" s="39">
        <f>LOG(K130+([2]Values!$D$8*L130)+([2]Values!$D$9*M130)+(O130*[2]Values!D$10)+(P130*[2]Values!$D$11)+1)</f>
        <v>3.8287005558778897E-2</v>
      </c>
      <c r="O130" s="42">
        <v>10</v>
      </c>
      <c r="P130" s="40"/>
      <c r="Q130" s="41" t="s">
        <v>23</v>
      </c>
    </row>
    <row r="131" spans="1:17" ht="12.3">
      <c r="A131" s="44">
        <v>43611</v>
      </c>
      <c r="B131" s="45" t="s">
        <v>72</v>
      </c>
      <c r="C131" s="45" t="s">
        <v>315</v>
      </c>
      <c r="D131" s="46" t="s">
        <v>630</v>
      </c>
      <c r="E131" s="45" t="s">
        <v>19</v>
      </c>
      <c r="F131" s="45" t="s">
        <v>20</v>
      </c>
      <c r="G131" s="45">
        <v>115</v>
      </c>
      <c r="H131" s="45"/>
      <c r="I131" s="57">
        <v>-5796</v>
      </c>
      <c r="J131" s="57">
        <v>-75298</v>
      </c>
      <c r="K131" s="4">
        <f t="shared" ref="K131:M131" si="7">SUM(K132:K133)</f>
        <v>2</v>
      </c>
      <c r="L131" s="47">
        <f t="shared" si="7"/>
        <v>25</v>
      </c>
      <c r="M131" s="47">
        <f t="shared" si="7"/>
        <v>4119</v>
      </c>
      <c r="N131" s="48">
        <f>LOG(K131+([2]Values!$D$8*L131)+([2]Values!$D$9*M131)+(O131*[2]Values!D$10)+(P131*[2]Values!$D$11)+1)</f>
        <v>2.1653844317646498</v>
      </c>
      <c r="O131" s="45">
        <f t="shared" ref="O131:P131" si="8">SUM(O132:O133)</f>
        <v>1829</v>
      </c>
      <c r="P131" s="45">
        <f t="shared" si="8"/>
        <v>1444</v>
      </c>
      <c r="Q131" s="49" t="s">
        <v>23</v>
      </c>
    </row>
    <row r="132" spans="1:17" ht="12.3">
      <c r="A132" s="36"/>
      <c r="B132" s="36"/>
      <c r="C132" s="36"/>
      <c r="D132" s="50" t="s">
        <v>630</v>
      </c>
      <c r="E132" s="36"/>
      <c r="F132" s="36"/>
      <c r="G132" s="36"/>
      <c r="H132" s="36"/>
      <c r="I132" s="36"/>
      <c r="J132" s="36"/>
      <c r="K132" s="4">
        <v>2</v>
      </c>
      <c r="L132" s="5">
        <v>10</v>
      </c>
      <c r="M132" s="43">
        <v>4099</v>
      </c>
      <c r="N132" s="39">
        <f>LOG(K132+([2]Values!$D$8*L132)+([2]Values!$D$9*M132)+(O132*[2]Values!D$10)+(P132*[2]Values!$D$11)+1)</f>
        <v>2.1456539229469551</v>
      </c>
      <c r="O132" s="40">
        <v>1576</v>
      </c>
      <c r="P132" s="40">
        <v>1444</v>
      </c>
      <c r="Q132" s="41" t="s">
        <v>23</v>
      </c>
    </row>
    <row r="133" spans="1:17" ht="12.3">
      <c r="A133" s="36"/>
      <c r="B133" s="36"/>
      <c r="C133" s="36"/>
      <c r="D133" s="50" t="s">
        <v>630</v>
      </c>
      <c r="E133" s="36"/>
      <c r="F133" s="36"/>
      <c r="G133" s="36"/>
      <c r="H133" s="36"/>
      <c r="I133" s="36"/>
      <c r="J133" s="36"/>
      <c r="K133" s="4">
        <v>0</v>
      </c>
      <c r="L133" s="5">
        <v>15</v>
      </c>
      <c r="M133" s="5">
        <v>20</v>
      </c>
      <c r="N133" s="39">
        <f>LOG(K133+([2]Values!$D$8*L133)+([2]Values!$D$9*M133)+(O133*[2]Values!D$10)+(P133*[2]Values!$D$11)+1)</f>
        <v>0.87505878740368481</v>
      </c>
      <c r="O133" s="42">
        <v>253</v>
      </c>
      <c r="P133" s="40"/>
      <c r="Q133" s="41" t="s">
        <v>23</v>
      </c>
    </row>
    <row r="134" spans="1:17" ht="12.3">
      <c r="A134" s="44">
        <v>43615</v>
      </c>
      <c r="B134" s="45" t="s">
        <v>404</v>
      </c>
      <c r="C134" s="45" t="s">
        <v>600</v>
      </c>
      <c r="D134" s="46" t="s">
        <v>400</v>
      </c>
      <c r="E134" s="45" t="s">
        <v>19</v>
      </c>
      <c r="F134" s="45" t="s">
        <v>20</v>
      </c>
      <c r="G134" s="45">
        <v>65</v>
      </c>
      <c r="H134" s="45"/>
      <c r="I134" s="57">
        <v>13243</v>
      </c>
      <c r="J134" s="57">
        <v>-89272</v>
      </c>
      <c r="K134" s="4">
        <v>1</v>
      </c>
      <c r="L134" s="47">
        <v>1</v>
      </c>
      <c r="M134" s="47"/>
      <c r="N134" s="48">
        <f>LOG(K134+([2]Values!$D$8*L134)+([2]Values!$D$9*M134)+(O134*[2]Values!D$10)+(P134*[2]Values!$D$11)+1)</f>
        <v>0.45662577505950974</v>
      </c>
      <c r="O134" s="45">
        <v>66</v>
      </c>
      <c r="P134" s="45"/>
      <c r="Q134" s="49" t="s">
        <v>23</v>
      </c>
    </row>
    <row r="135" spans="1:17" ht="12.3">
      <c r="A135" s="37">
        <v>43617</v>
      </c>
      <c r="B135" s="36" t="s">
        <v>292</v>
      </c>
      <c r="C135" s="36" t="s">
        <v>631</v>
      </c>
      <c r="D135" s="38" t="s">
        <v>285</v>
      </c>
      <c r="E135" s="36" t="s">
        <v>107</v>
      </c>
      <c r="F135" s="36" t="s">
        <v>20</v>
      </c>
      <c r="G135" s="36">
        <v>14</v>
      </c>
      <c r="H135" s="36"/>
      <c r="I135" s="36" t="s">
        <v>443</v>
      </c>
      <c r="J135" s="36" t="s">
        <v>632</v>
      </c>
      <c r="K135" s="4">
        <v>0</v>
      </c>
      <c r="L135" s="5">
        <v>4</v>
      </c>
      <c r="M135" s="5">
        <v>230</v>
      </c>
      <c r="N135" s="39">
        <f>LOG(K135+([2]Values!$D$8*L135)+([2]Values!$D$9*M135)+(O135*[2]Values!D$10)+(P135*[2]Values!$D$11)+1)</f>
        <v>1.0812956550173802</v>
      </c>
      <c r="O135" s="40">
        <v>307</v>
      </c>
      <c r="P135" s="40">
        <v>97</v>
      </c>
      <c r="Q135" s="41" t="s">
        <v>23</v>
      </c>
    </row>
    <row r="136" spans="1:17" ht="12.3">
      <c r="A136" s="37">
        <v>43625</v>
      </c>
      <c r="B136" s="36" t="s">
        <v>615</v>
      </c>
      <c r="C136" s="36" t="s">
        <v>616</v>
      </c>
      <c r="D136" s="38" t="s">
        <v>387</v>
      </c>
      <c r="E136" s="36" t="s">
        <v>19</v>
      </c>
      <c r="F136" s="36" t="s">
        <v>633</v>
      </c>
      <c r="G136" s="36">
        <v>3</v>
      </c>
      <c r="H136" s="36"/>
      <c r="I136" s="36" t="s">
        <v>634</v>
      </c>
      <c r="J136" s="51">
        <v>6767</v>
      </c>
      <c r="K136" s="4">
        <v>0</v>
      </c>
      <c r="L136" s="5">
        <v>0</v>
      </c>
      <c r="M136" s="5">
        <v>0</v>
      </c>
      <c r="N136" s="39">
        <f>LOG(K136+([2]Values!$D$8*L136)+([2]Values!$D$9*M136)+(O136*[2]Values!D$10)+(P136*[2]Values!$D$11)+1)</f>
        <v>0.33655090626981565</v>
      </c>
      <c r="O136" s="40">
        <v>127</v>
      </c>
      <c r="P136" s="40">
        <v>0</v>
      </c>
      <c r="Q136" s="41" t="s">
        <v>23</v>
      </c>
    </row>
    <row r="137" spans="1:17" ht="12.3">
      <c r="A137" s="37">
        <v>43630</v>
      </c>
      <c r="B137" s="36" t="s">
        <v>359</v>
      </c>
      <c r="C137" s="36" t="s">
        <v>360</v>
      </c>
      <c r="D137" s="50" t="s">
        <v>367</v>
      </c>
      <c r="E137" s="36" t="s">
        <v>19</v>
      </c>
      <c r="F137" s="36" t="s">
        <v>20</v>
      </c>
      <c r="G137" s="36">
        <v>12</v>
      </c>
      <c r="H137" s="36"/>
      <c r="I137" s="51">
        <v>-30056</v>
      </c>
      <c r="J137" s="51">
        <v>-72082</v>
      </c>
      <c r="K137" s="4">
        <v>0</v>
      </c>
      <c r="L137" s="5">
        <v>0</v>
      </c>
      <c r="M137" s="5">
        <v>0</v>
      </c>
      <c r="N137" s="39">
        <f>LOG(K137+([2]Values!$D$8*L137)+([2]Values!$D$9*M137)+(O137*[2]Values!D$10)+(P137*[2]Values!$D$11)+1)</f>
        <v>0</v>
      </c>
      <c r="O137" s="40">
        <v>0</v>
      </c>
      <c r="P137" s="40">
        <v>0</v>
      </c>
      <c r="Q137" s="41" t="s">
        <v>635</v>
      </c>
    </row>
    <row r="138" spans="1:17" ht="12.3">
      <c r="A138" s="37">
        <v>43631</v>
      </c>
      <c r="B138" s="36" t="s">
        <v>636</v>
      </c>
      <c r="C138" s="36" t="s">
        <v>637</v>
      </c>
      <c r="D138" s="50" t="s">
        <v>585</v>
      </c>
      <c r="E138" s="36" t="s">
        <v>19</v>
      </c>
      <c r="F138" s="36" t="s">
        <v>20</v>
      </c>
      <c r="G138" s="36">
        <v>34</v>
      </c>
      <c r="H138" s="36"/>
      <c r="I138" s="51">
        <v>-30805</v>
      </c>
      <c r="J138" s="51">
        <v>-178095</v>
      </c>
      <c r="K138" s="4">
        <v>0</v>
      </c>
      <c r="L138" s="5">
        <v>0</v>
      </c>
      <c r="M138" s="5">
        <v>0</v>
      </c>
      <c r="N138" s="39">
        <f>LOG(K138+([2]Values!$D$8*L138)+([2]Values!$D$9*M138)+(O138*[2]Values!D$10)+(P138*[2]Values!$D$11)+1)</f>
        <v>0</v>
      </c>
      <c r="O138" s="40">
        <v>0</v>
      </c>
      <c r="P138" s="40">
        <v>0</v>
      </c>
      <c r="Q138" s="41" t="s">
        <v>638</v>
      </c>
    </row>
    <row r="139" spans="1:17" ht="12.3">
      <c r="A139" s="44">
        <v>43633</v>
      </c>
      <c r="B139" s="45" t="s">
        <v>83</v>
      </c>
      <c r="C139" s="45" t="s">
        <v>150</v>
      </c>
      <c r="D139" s="46" t="s">
        <v>364</v>
      </c>
      <c r="E139" s="45" t="s">
        <v>19</v>
      </c>
      <c r="F139" s="45" t="s">
        <v>639</v>
      </c>
      <c r="G139" s="45">
        <v>16</v>
      </c>
      <c r="H139" s="45" t="s">
        <v>363</v>
      </c>
      <c r="I139" s="45" t="s">
        <v>640</v>
      </c>
      <c r="J139" s="45" t="s">
        <v>641</v>
      </c>
      <c r="K139" s="4">
        <v>13</v>
      </c>
      <c r="L139" s="47">
        <v>231</v>
      </c>
      <c r="M139" s="47">
        <v>81396</v>
      </c>
      <c r="N139" s="48">
        <f>LOG(K139+([2]Values!$D$8*L139)+([2]Values!$D$9*M139)+(O139*[2]Values!D$10)+(P139*[2]Values!$D$11)+1)</f>
        <v>3.3852476285469524</v>
      </c>
      <c r="O139" s="45">
        <v>40000</v>
      </c>
      <c r="P139" s="45">
        <v>16000</v>
      </c>
      <c r="Q139" s="49" t="s">
        <v>23</v>
      </c>
    </row>
    <row r="140" spans="1:17" ht="12.3">
      <c r="A140" s="37">
        <v>43634</v>
      </c>
      <c r="B140" s="36" t="s">
        <v>258</v>
      </c>
      <c r="C140" s="36" t="s">
        <v>642</v>
      </c>
      <c r="D140" s="50" t="s">
        <v>308</v>
      </c>
      <c r="E140" s="36" t="s">
        <v>19</v>
      </c>
      <c r="F140" s="36" t="s">
        <v>20</v>
      </c>
      <c r="G140" s="36">
        <v>11</v>
      </c>
      <c r="H140" s="36" t="s">
        <v>643</v>
      </c>
      <c r="I140" s="51">
        <v>38646</v>
      </c>
      <c r="J140" s="51">
        <v>139472</v>
      </c>
      <c r="K140" s="4">
        <v>0</v>
      </c>
      <c r="L140" s="5">
        <v>41</v>
      </c>
      <c r="M140" s="5">
        <v>0</v>
      </c>
      <c r="N140" s="39">
        <f>LOG(K140+([2]Values!$D$8*L140)+([2]Values!$D$9*M140)+(O140*[2]Values!D$10)+(P140*[2]Values!$D$11)+1)</f>
        <v>1.3428963884973257</v>
      </c>
      <c r="O140" s="40">
        <v>1043</v>
      </c>
      <c r="P140" s="40">
        <v>33</v>
      </c>
      <c r="Q140" s="41" t="s">
        <v>144</v>
      </c>
    </row>
    <row r="141" spans="1:17" ht="12.3">
      <c r="A141" s="37">
        <v>43635</v>
      </c>
      <c r="B141" s="36" t="s">
        <v>44</v>
      </c>
      <c r="C141" s="36" t="s">
        <v>644</v>
      </c>
      <c r="D141" s="50" t="s">
        <v>545</v>
      </c>
      <c r="E141" s="36" t="s">
        <v>19</v>
      </c>
      <c r="F141" s="36" t="s">
        <v>20</v>
      </c>
      <c r="G141" s="36">
        <v>13</v>
      </c>
      <c r="H141" s="36" t="s">
        <v>123</v>
      </c>
      <c r="I141" s="51">
        <v>-2252</v>
      </c>
      <c r="J141" s="51">
        <v>138404</v>
      </c>
      <c r="K141" s="4">
        <v>0</v>
      </c>
      <c r="L141" s="5"/>
      <c r="M141" s="43">
        <v>100</v>
      </c>
      <c r="N141" s="39">
        <f>LOG(K141+([2]Values!$D$8*L141)+([2]Values!$D$9*M141)+(O141*[2]Values!D$10)+(P141*[2]Values!$D$11)+1)</f>
        <v>0.60847340182611231</v>
      </c>
      <c r="O141" s="40">
        <v>19</v>
      </c>
      <c r="P141" s="40">
        <v>34</v>
      </c>
      <c r="Q141" s="41" t="s">
        <v>23</v>
      </c>
    </row>
    <row r="142" spans="1:17" ht="12.3">
      <c r="A142" s="37">
        <v>43637</v>
      </c>
      <c r="B142" s="36" t="s">
        <v>512</v>
      </c>
      <c r="C142" s="36" t="s">
        <v>645</v>
      </c>
      <c r="D142" s="38" t="s">
        <v>312</v>
      </c>
      <c r="E142" s="36" t="s">
        <v>19</v>
      </c>
      <c r="F142" s="36" t="s">
        <v>20</v>
      </c>
      <c r="G142" s="36"/>
      <c r="H142" s="36" t="s">
        <v>35</v>
      </c>
      <c r="I142" s="36" t="s">
        <v>646</v>
      </c>
      <c r="J142" s="36" t="s">
        <v>647</v>
      </c>
      <c r="K142" s="4">
        <v>0</v>
      </c>
      <c r="L142" s="5">
        <v>0</v>
      </c>
      <c r="M142" s="5">
        <v>0</v>
      </c>
      <c r="N142" s="39">
        <f>LOG(K142+([2]Values!$D$8*L142)+([2]Values!$D$9*M142)+(O142*[2]Values!D$10)+(P142*[2]Values!$D$11)+1)</f>
        <v>1.1844616960551136E-2</v>
      </c>
      <c r="O142" s="40">
        <v>3</v>
      </c>
      <c r="P142" s="40">
        <v>0</v>
      </c>
      <c r="Q142" s="41" t="s">
        <v>23</v>
      </c>
    </row>
    <row r="143" spans="1:17" ht="12.3">
      <c r="A143" s="37">
        <v>43637</v>
      </c>
      <c r="B143" s="36" t="s">
        <v>24</v>
      </c>
      <c r="C143" s="36" t="s">
        <v>397</v>
      </c>
      <c r="D143" s="38" t="s">
        <v>648</v>
      </c>
      <c r="E143" s="36" t="s">
        <v>19</v>
      </c>
      <c r="F143" s="36" t="s">
        <v>20</v>
      </c>
      <c r="G143" s="36">
        <v>10</v>
      </c>
      <c r="H143" s="36"/>
      <c r="I143" s="67">
        <v>43665</v>
      </c>
      <c r="J143" s="36" t="s">
        <v>649</v>
      </c>
      <c r="K143" s="4">
        <v>0</v>
      </c>
      <c r="L143" s="5">
        <v>0</v>
      </c>
      <c r="M143" s="5">
        <v>0</v>
      </c>
      <c r="N143" s="39">
        <f>LOG(K143+([2]Values!$D$8*L143)+([2]Values!$D$9*M143)+(O143*[2]Values!D$10)+(P143*[2]Values!$D$11)+1)</f>
        <v>0.15067306035920386</v>
      </c>
      <c r="O143" s="40">
        <v>45</v>
      </c>
      <c r="P143" s="40">
        <v>0</v>
      </c>
      <c r="Q143" s="41" t="s">
        <v>23</v>
      </c>
    </row>
    <row r="144" spans="1:17" ht="12.3">
      <c r="A144" s="37">
        <v>43639</v>
      </c>
      <c r="B144" s="36" t="s">
        <v>83</v>
      </c>
      <c r="C144" s="36" t="s">
        <v>150</v>
      </c>
      <c r="D144" s="38" t="s">
        <v>424</v>
      </c>
      <c r="E144" s="36" t="s">
        <v>206</v>
      </c>
      <c r="F144" s="36" t="s">
        <v>20</v>
      </c>
      <c r="G144" s="36">
        <v>10</v>
      </c>
      <c r="H144" s="36"/>
      <c r="I144" s="36" t="s">
        <v>650</v>
      </c>
      <c r="J144" s="36" t="s">
        <v>651</v>
      </c>
      <c r="K144" s="4">
        <v>0</v>
      </c>
      <c r="L144" s="5">
        <v>31</v>
      </c>
      <c r="M144" s="5"/>
      <c r="N144" s="39">
        <f>LOG(K144+([2]Values!$D$8*L144)+([2]Values!$D$9*M144)+(O144*[2]Values!D$10)+(P144*[2]Values!$D$11)+1)</f>
        <v>0.9532960226595274</v>
      </c>
      <c r="O144" s="40"/>
      <c r="P144" s="40">
        <v>4</v>
      </c>
      <c r="Q144" s="41" t="s">
        <v>23</v>
      </c>
    </row>
    <row r="145" spans="1:17" ht="12.3">
      <c r="A145" s="37">
        <v>43639</v>
      </c>
      <c r="B145" s="36" t="s">
        <v>652</v>
      </c>
      <c r="C145" s="36" t="s">
        <v>653</v>
      </c>
      <c r="D145" s="38" t="s">
        <v>442</v>
      </c>
      <c r="E145" s="36" t="s">
        <v>19</v>
      </c>
      <c r="F145" s="36" t="s">
        <v>20</v>
      </c>
      <c r="G145" s="36">
        <v>9</v>
      </c>
      <c r="H145" s="36"/>
      <c r="I145" s="36" t="s">
        <v>654</v>
      </c>
      <c r="J145" s="36" t="s">
        <v>655</v>
      </c>
      <c r="K145" s="4">
        <v>0</v>
      </c>
      <c r="L145" s="5">
        <v>0</v>
      </c>
      <c r="M145" s="5">
        <v>0</v>
      </c>
      <c r="N145" s="39">
        <f>LOG(K145+([2]Values!$D$8*L145)+([2]Values!$D$9*M145)+(O145*[2]Values!D$10)+(P145*[2]Values!$D$11)+1)</f>
        <v>3.9842071266415419E-3</v>
      </c>
      <c r="O145" s="40">
        <v>1</v>
      </c>
      <c r="P145" s="40">
        <v>0</v>
      </c>
      <c r="Q145" s="41" t="s">
        <v>23</v>
      </c>
    </row>
    <row r="146" spans="1:17" ht="12.3">
      <c r="A146" s="37">
        <v>43639</v>
      </c>
      <c r="B146" s="36" t="s">
        <v>199</v>
      </c>
      <c r="C146" s="36" t="s">
        <v>656</v>
      </c>
      <c r="D146" s="38" t="s">
        <v>657</v>
      </c>
      <c r="E146" s="36" t="s">
        <v>19</v>
      </c>
      <c r="F146" s="36" t="s">
        <v>20</v>
      </c>
      <c r="G146" s="36">
        <v>9</v>
      </c>
      <c r="H146" s="36"/>
      <c r="I146" s="68" t="s">
        <v>658</v>
      </c>
      <c r="J146" s="68" t="s">
        <v>659</v>
      </c>
      <c r="K146" s="4">
        <v>0</v>
      </c>
      <c r="L146" s="5">
        <v>0</v>
      </c>
      <c r="M146" s="5">
        <v>0</v>
      </c>
      <c r="N146" s="39">
        <f>LOG(K146+([2]Values!$D$8*L146)+([2]Values!$D$9*M146)+(O146*[2]Values!D$10)+(P146*[2]Values!$D$11)+1)</f>
        <v>1.9565284656210144E-2</v>
      </c>
      <c r="O146" s="40">
        <v>5</v>
      </c>
      <c r="P146" s="40">
        <v>0</v>
      </c>
      <c r="Q146" s="41" t="s">
        <v>23</v>
      </c>
    </row>
    <row r="147" spans="1:17" ht="12.3">
      <c r="A147" s="37">
        <v>43640</v>
      </c>
      <c r="B147" s="36" t="s">
        <v>44</v>
      </c>
      <c r="C147" s="36" t="s">
        <v>644</v>
      </c>
      <c r="D147" s="50" t="s">
        <v>408</v>
      </c>
      <c r="E147" s="36" t="s">
        <v>19</v>
      </c>
      <c r="F147" s="36" t="s">
        <v>20</v>
      </c>
      <c r="G147" s="36">
        <v>28</v>
      </c>
      <c r="H147" s="36"/>
      <c r="I147" s="51">
        <v>-2791</v>
      </c>
      <c r="J147" s="51">
        <v>138547</v>
      </c>
      <c r="K147" s="4">
        <v>0</v>
      </c>
      <c r="L147" s="5">
        <v>0</v>
      </c>
      <c r="M147" s="5"/>
      <c r="N147" s="39">
        <f>LOG(K147+([2]Values!$D$8*L147)+([2]Values!$D$9*M147)+(O147*[2]Values!D$10)+(P147*[2]Values!$D$11)+1)</f>
        <v>1.9565284656210144E-2</v>
      </c>
      <c r="O147" s="42">
        <v>5</v>
      </c>
      <c r="P147" s="40"/>
      <c r="Q147" s="41" t="s">
        <v>23</v>
      </c>
    </row>
    <row r="148" spans="1:17" ht="12.3">
      <c r="A148" s="37">
        <v>43640</v>
      </c>
      <c r="B148" s="36" t="s">
        <v>44</v>
      </c>
      <c r="C148" s="36" t="s">
        <v>162</v>
      </c>
      <c r="D148" s="50" t="s">
        <v>660</v>
      </c>
      <c r="E148" s="36" t="s">
        <v>19</v>
      </c>
      <c r="F148" s="36" t="s">
        <v>20</v>
      </c>
      <c r="G148" s="36">
        <v>208</v>
      </c>
      <c r="H148" s="36"/>
      <c r="I148" s="51">
        <v>-6389</v>
      </c>
      <c r="J148" s="51">
        <v>129220</v>
      </c>
      <c r="K148" s="4">
        <v>0</v>
      </c>
      <c r="L148" s="5">
        <v>0</v>
      </c>
      <c r="M148" s="5">
        <v>0</v>
      </c>
      <c r="N148" s="39">
        <f>LOG(K148+([2]Values!$D$8*L148)+([2]Values!$D$9*M148)+(O148*[2]Values!D$10)+(P148*[2]Values!$D$11)+1)</f>
        <v>0</v>
      </c>
      <c r="O148" s="40"/>
      <c r="P148" s="40"/>
      <c r="Q148" s="41" t="s">
        <v>23</v>
      </c>
    </row>
    <row r="149" spans="1:17" ht="12.3">
      <c r="A149" s="36"/>
      <c r="B149" s="36"/>
      <c r="C149" s="36"/>
      <c r="D149" s="50" t="s">
        <v>660</v>
      </c>
      <c r="E149" s="36" t="s">
        <v>19</v>
      </c>
      <c r="F149" s="36"/>
      <c r="G149" s="36"/>
      <c r="H149" s="36"/>
      <c r="I149" s="36"/>
      <c r="J149" s="36"/>
      <c r="K149" s="4">
        <v>0</v>
      </c>
      <c r="L149" s="5">
        <v>0</v>
      </c>
      <c r="M149" s="5">
        <v>0</v>
      </c>
      <c r="N149" s="39">
        <f>LOG(K149+([2]Values!$D$8*L149)+([2]Values!$D$9*M149)+(O149*[2]Values!D$10)+(P149*[2]Values!$D$11)+1)</f>
        <v>3.9842071266415419E-3</v>
      </c>
      <c r="O149" s="40">
        <v>1</v>
      </c>
      <c r="P149" s="40"/>
      <c r="Q149" s="41" t="s">
        <v>23</v>
      </c>
    </row>
    <row r="150" spans="1:17" ht="12.3">
      <c r="A150" s="37">
        <v>43640</v>
      </c>
      <c r="B150" s="36" t="s">
        <v>83</v>
      </c>
      <c r="C150" s="36" t="s">
        <v>323</v>
      </c>
      <c r="D150" s="38" t="s">
        <v>464</v>
      </c>
      <c r="E150" s="36" t="s">
        <v>19</v>
      </c>
      <c r="F150" s="36" t="s">
        <v>20</v>
      </c>
      <c r="G150" s="36"/>
      <c r="H150" s="36"/>
      <c r="I150" s="36" t="s">
        <v>662</v>
      </c>
      <c r="J150" s="36" t="s">
        <v>663</v>
      </c>
      <c r="K150" s="4">
        <v>0</v>
      </c>
      <c r="L150" s="5">
        <v>0</v>
      </c>
      <c r="M150" s="5">
        <v>19</v>
      </c>
      <c r="N150" s="39">
        <f>LOG(K150+([2]Values!$D$8*L150)+([2]Values!$D$9*M150)+(O150*[2]Values!D$10)+(P150*[2]Values!$D$11)+1)</f>
        <v>0.18017787272616942</v>
      </c>
      <c r="O150" s="40">
        <v>18</v>
      </c>
      <c r="P150" s="40">
        <v>0</v>
      </c>
      <c r="Q150" s="41" t="s">
        <v>23</v>
      </c>
    </row>
    <row r="151" spans="1:17" ht="12.6">
      <c r="A151" s="69" t="s">
        <v>664</v>
      </c>
      <c r="B151" s="69" t="s">
        <v>665</v>
      </c>
      <c r="C151" s="69" t="s">
        <v>666</v>
      </c>
      <c r="D151" s="70"/>
      <c r="E151" s="69" t="s">
        <v>667</v>
      </c>
      <c r="F151" s="69"/>
      <c r="G151" s="69"/>
      <c r="H151" s="69"/>
      <c r="I151" s="69"/>
      <c r="J151" s="69"/>
      <c r="K151" s="71" t="s">
        <v>668</v>
      </c>
      <c r="L151" s="72" t="s">
        <v>668</v>
      </c>
      <c r="M151" s="72" t="s">
        <v>669</v>
      </c>
      <c r="N151" s="73"/>
      <c r="O151" s="69"/>
      <c r="P151" s="69" t="s">
        <v>670</v>
      </c>
      <c r="Q151" s="74" t="s">
        <v>23</v>
      </c>
    </row>
    <row r="152" spans="1:17" ht="12.3">
      <c r="A152" s="37">
        <v>43642</v>
      </c>
      <c r="B152" s="36" t="s">
        <v>591</v>
      </c>
      <c r="C152" s="36" t="s">
        <v>592</v>
      </c>
      <c r="D152" s="50" t="s">
        <v>545</v>
      </c>
      <c r="E152" s="36" t="s">
        <v>19</v>
      </c>
      <c r="F152" s="36" t="s">
        <v>20</v>
      </c>
      <c r="G152" s="36">
        <v>31</v>
      </c>
      <c r="H152" s="36"/>
      <c r="I152" s="51">
        <v>8449</v>
      </c>
      <c r="J152" s="51">
        <v>-82768</v>
      </c>
      <c r="K152" s="4">
        <v>0</v>
      </c>
      <c r="L152" s="5">
        <v>1</v>
      </c>
      <c r="M152" s="5"/>
      <c r="N152" s="39">
        <f>LOG(K152+([2]Values!$D$8*L152)+([2]Values!$D$9*M152)+(O152*[2]Values!D$10)+(P152*[2]Values!$D$11)+1)</f>
        <v>0.23767909919620922</v>
      </c>
      <c r="O152" s="42">
        <v>18</v>
      </c>
      <c r="P152" s="40">
        <v>10</v>
      </c>
      <c r="Q152" s="41" t="s">
        <v>23</v>
      </c>
    </row>
    <row r="153" spans="1:17" ht="12.3">
      <c r="A153" s="36"/>
      <c r="B153" s="36"/>
      <c r="C153" s="36"/>
      <c r="D153" s="50" t="s">
        <v>545</v>
      </c>
      <c r="E153" s="36"/>
      <c r="F153" s="36"/>
      <c r="G153" s="36"/>
      <c r="H153" s="36"/>
      <c r="I153" s="36"/>
      <c r="J153" s="36"/>
      <c r="K153" s="4">
        <v>0</v>
      </c>
      <c r="L153" s="5">
        <v>0</v>
      </c>
      <c r="M153" s="5"/>
      <c r="N153" s="39">
        <f>LOG(K153+([2]Values!$D$8*L153)+([2]Values!$D$9*M153)+(O153*[2]Values!D$10)+(P153*[2]Values!$D$11)+1)</f>
        <v>3.0894879830772423E-2</v>
      </c>
      <c r="O153" s="40">
        <v>8</v>
      </c>
      <c r="P153" s="40"/>
      <c r="Q153" s="41" t="s">
        <v>23</v>
      </c>
    </row>
    <row r="154" spans="1:17" ht="12.3">
      <c r="A154" s="37">
        <v>43642</v>
      </c>
      <c r="B154" s="36" t="s">
        <v>671</v>
      </c>
      <c r="C154" s="36" t="s">
        <v>672</v>
      </c>
      <c r="D154" s="38" t="s">
        <v>657</v>
      </c>
      <c r="E154" s="36" t="s">
        <v>19</v>
      </c>
      <c r="F154" s="36" t="s">
        <v>20</v>
      </c>
      <c r="G154" s="36">
        <v>15</v>
      </c>
      <c r="H154" s="36"/>
      <c r="I154" s="36" t="s">
        <v>673</v>
      </c>
      <c r="J154" s="67">
        <v>43723</v>
      </c>
      <c r="K154" s="4">
        <v>0</v>
      </c>
      <c r="L154" s="5">
        <v>0</v>
      </c>
      <c r="M154" s="5">
        <v>0</v>
      </c>
      <c r="N154" s="39">
        <f>LOG(K154+([2]Values!$D$8*L154)+([2]Values!$D$9*M154)+(O154*[2]Values!D$10)+(P154*[2]Values!$D$11)+1)</f>
        <v>3.8287005558778897E-2</v>
      </c>
      <c r="O154" s="42">
        <v>10</v>
      </c>
      <c r="P154" s="40">
        <v>0</v>
      </c>
      <c r="Q154" s="41" t="s">
        <v>23</v>
      </c>
    </row>
    <row r="155" spans="1:17" ht="12.3">
      <c r="A155" s="44">
        <v>43647</v>
      </c>
      <c r="B155" s="45" t="s">
        <v>67</v>
      </c>
      <c r="C155" s="45" t="s">
        <v>68</v>
      </c>
      <c r="D155" s="46" t="s">
        <v>674</v>
      </c>
      <c r="E155" s="45" t="s">
        <v>675</v>
      </c>
      <c r="F155" s="45" t="s">
        <v>483</v>
      </c>
      <c r="G155" s="45">
        <v>1</v>
      </c>
      <c r="H155" s="45"/>
      <c r="I155" s="45" t="s">
        <v>676</v>
      </c>
      <c r="J155" s="56">
        <v>43574</v>
      </c>
      <c r="K155" s="4">
        <v>3</v>
      </c>
      <c r="L155" s="47">
        <v>6</v>
      </c>
      <c r="M155" s="47"/>
      <c r="N155" s="48">
        <f>LOG(K155+([2]Values!$D$8*L155)+([2]Values!$D$9*M155)+(O155*[2]Values!D$10)+(P155*[2]Values!$D$11)+1)</f>
        <v>0.74199072552152379</v>
      </c>
      <c r="O155" s="45">
        <v>0</v>
      </c>
      <c r="P155" s="45">
        <v>0</v>
      </c>
      <c r="Q155" s="49" t="s">
        <v>23</v>
      </c>
    </row>
    <row r="156" spans="1:17" ht="12.3">
      <c r="A156" s="37">
        <v>43649</v>
      </c>
      <c r="B156" s="36" t="s">
        <v>403</v>
      </c>
      <c r="C156" s="36" t="s">
        <v>677</v>
      </c>
      <c r="D156" s="38" t="s">
        <v>535</v>
      </c>
      <c r="E156" s="36" t="s">
        <v>678</v>
      </c>
      <c r="F156" s="36" t="s">
        <v>20</v>
      </c>
      <c r="G156" s="36"/>
      <c r="H156" s="36"/>
      <c r="I156" s="36" t="s">
        <v>679</v>
      </c>
      <c r="J156" s="36" t="s">
        <v>680</v>
      </c>
      <c r="K156" s="4">
        <v>0</v>
      </c>
      <c r="L156" s="5">
        <v>0</v>
      </c>
      <c r="M156" s="5">
        <v>0</v>
      </c>
      <c r="N156" s="39">
        <f>LOG(K156+([2]Values!$D$8*L156)+([2]Values!$D$9*M156)+(O156*[2]Values!D$10)+(P156*[2]Values!$D$11)+1)</f>
        <v>5.6234907072035586E-2</v>
      </c>
      <c r="O156" s="42">
        <v>15</v>
      </c>
      <c r="P156" s="40">
        <v>0</v>
      </c>
      <c r="Q156" s="41" t="s">
        <v>23</v>
      </c>
    </row>
    <row r="157" spans="1:17" ht="12.3">
      <c r="A157" s="37">
        <v>43650</v>
      </c>
      <c r="B157" s="36" t="s">
        <v>83</v>
      </c>
      <c r="C157" s="36" t="s">
        <v>150</v>
      </c>
      <c r="D157" s="50" t="s">
        <v>375</v>
      </c>
      <c r="E157" s="36" t="s">
        <v>206</v>
      </c>
      <c r="F157" s="36" t="s">
        <v>20</v>
      </c>
      <c r="G157" s="36">
        <v>8</v>
      </c>
      <c r="H157" s="36"/>
      <c r="I157" s="36" t="s">
        <v>640</v>
      </c>
      <c r="J157" s="36" t="s">
        <v>681</v>
      </c>
      <c r="K157" s="4">
        <v>0</v>
      </c>
      <c r="L157" s="5">
        <v>16</v>
      </c>
      <c r="M157" s="5"/>
      <c r="N157" s="39">
        <f>LOG(K157+([2]Values!$D$8*L157)+([2]Values!$D$9*M157)+(O157*[2]Values!D$10)+(P157*[2]Values!$D$11)+1)</f>
        <v>0.70372837580661918</v>
      </c>
      <c r="O157" s="40"/>
      <c r="P157" s="40"/>
      <c r="Q157" s="41" t="s">
        <v>23</v>
      </c>
    </row>
    <row r="158" spans="1:17" ht="12.3">
      <c r="A158" s="37">
        <v>43650</v>
      </c>
      <c r="B158" s="36" t="s">
        <v>39</v>
      </c>
      <c r="C158" s="36" t="s">
        <v>682</v>
      </c>
      <c r="D158" s="50" t="s">
        <v>367</v>
      </c>
      <c r="E158" s="36" t="s">
        <v>19</v>
      </c>
      <c r="F158" s="36" t="s">
        <v>20</v>
      </c>
      <c r="G158" s="36">
        <v>11</v>
      </c>
      <c r="H158" s="36"/>
      <c r="I158" s="51">
        <v>35705</v>
      </c>
      <c r="J158" s="51">
        <v>-117506</v>
      </c>
      <c r="K158" s="4">
        <v>0</v>
      </c>
      <c r="L158" s="5">
        <v>10</v>
      </c>
      <c r="M158" s="5"/>
      <c r="N158" s="39">
        <f>LOG(K158+([2]Values!$D$8*L158)+([2]Values!$D$9*M158)+(O158*[2]Values!D$10)+(P158*[2]Values!$D$11)+1)</f>
        <v>0.5483190768802666</v>
      </c>
      <c r="O158" s="42"/>
      <c r="P158" s="40"/>
      <c r="Q158" s="41" t="s">
        <v>23</v>
      </c>
    </row>
    <row r="159" spans="1:17" ht="12.3">
      <c r="A159" s="44">
        <v>43651</v>
      </c>
      <c r="B159" s="45" t="s">
        <v>67</v>
      </c>
      <c r="C159" s="45" t="s">
        <v>329</v>
      </c>
      <c r="D159" s="46" t="s">
        <v>428</v>
      </c>
      <c r="E159" s="45" t="s">
        <v>683</v>
      </c>
      <c r="F159" s="45" t="s">
        <v>69</v>
      </c>
      <c r="G159" s="45">
        <v>0.9</v>
      </c>
      <c r="H159" s="45" t="s">
        <v>684</v>
      </c>
      <c r="I159" s="57" t="s">
        <v>685</v>
      </c>
      <c r="J159" s="60">
        <v>43481</v>
      </c>
      <c r="K159" s="4">
        <v>1</v>
      </c>
      <c r="L159" s="47">
        <v>5</v>
      </c>
      <c r="M159" s="47">
        <v>0</v>
      </c>
      <c r="N159" s="48">
        <f>LOG(K159+([2]Values!$D$8*L159)+([2]Values!$D$9*M159)+(O159*[2]Values!D$10)+(P159*[2]Values!$D$11)+1)</f>
        <v>0.51417754773171775</v>
      </c>
      <c r="O159" s="45">
        <v>0</v>
      </c>
      <c r="P159" s="62">
        <v>0</v>
      </c>
      <c r="Q159" s="49" t="s">
        <v>23</v>
      </c>
    </row>
    <row r="160" spans="1:17" ht="12.3">
      <c r="A160" s="37">
        <v>43652</v>
      </c>
      <c r="B160" s="36" t="s">
        <v>39</v>
      </c>
      <c r="C160" s="36" t="s">
        <v>682</v>
      </c>
      <c r="D160" s="50" t="s">
        <v>686</v>
      </c>
      <c r="E160" s="36" t="s">
        <v>19</v>
      </c>
      <c r="F160" s="36" t="s">
        <v>20</v>
      </c>
      <c r="G160" s="36">
        <v>8</v>
      </c>
      <c r="H160" s="36" t="s">
        <v>687</v>
      </c>
      <c r="I160" s="51">
        <v>35766</v>
      </c>
      <c r="J160" s="51">
        <v>-117605</v>
      </c>
      <c r="K160" s="4">
        <v>0</v>
      </c>
      <c r="L160" s="43">
        <v>15</v>
      </c>
      <c r="M160" s="43">
        <v>100</v>
      </c>
      <c r="N160" s="39">
        <f>LOG(K160+([2]Values!$D$8*L160)+([2]Values!$D$9*M160)+(O160*[2]Values!D$10)+(P160*[2]Values!$D$11)+1)</f>
        <v>1.7317625542792872</v>
      </c>
      <c r="O160" s="42">
        <v>5000</v>
      </c>
      <c r="P160" s="42">
        <v>39</v>
      </c>
      <c r="Q160" s="41" t="s">
        <v>23</v>
      </c>
    </row>
    <row r="161" spans="1:17" ht="12.3">
      <c r="A161" s="37">
        <v>43653</v>
      </c>
      <c r="B161" s="36" t="s">
        <v>44</v>
      </c>
      <c r="C161" s="36" t="s">
        <v>688</v>
      </c>
      <c r="D161" s="50" t="s">
        <v>689</v>
      </c>
      <c r="E161" s="36" t="s">
        <v>19</v>
      </c>
      <c r="F161" s="36" t="s">
        <v>20</v>
      </c>
      <c r="G161" s="36">
        <v>36</v>
      </c>
      <c r="H161" s="36" t="s">
        <v>35</v>
      </c>
      <c r="I161" s="38" t="s">
        <v>690</v>
      </c>
      <c r="J161" s="51">
        <v>126199</v>
      </c>
      <c r="K161" s="4">
        <v>0</v>
      </c>
      <c r="L161" s="5">
        <v>0</v>
      </c>
      <c r="M161" s="5"/>
      <c r="N161" s="39">
        <f>LOG(K161+([2]Values!$D$8*L161)+([2]Values!$D$9*M161)+(O161*[2]Values!D$10)+(P161*[2]Values!$D$11)+1)</f>
        <v>3.8287005558778897E-2</v>
      </c>
      <c r="O161" s="42">
        <v>10</v>
      </c>
      <c r="P161" s="40"/>
      <c r="Q161" s="41" t="s">
        <v>23</v>
      </c>
    </row>
    <row r="162" spans="1:17" ht="12.3">
      <c r="A162" s="44">
        <v>43654</v>
      </c>
      <c r="B162" s="45" t="s">
        <v>17</v>
      </c>
      <c r="C162" s="45" t="s">
        <v>425</v>
      </c>
      <c r="D162" s="46" t="s">
        <v>364</v>
      </c>
      <c r="E162" s="45" t="s">
        <v>19</v>
      </c>
      <c r="F162" s="45" t="s">
        <v>20</v>
      </c>
      <c r="G162" s="45">
        <v>17</v>
      </c>
      <c r="H162" s="45" t="s">
        <v>363</v>
      </c>
      <c r="I162" s="45" t="s">
        <v>691</v>
      </c>
      <c r="J162" s="45" t="s">
        <v>692</v>
      </c>
      <c r="K162" s="4">
        <v>1</v>
      </c>
      <c r="L162" s="47">
        <v>135</v>
      </c>
      <c r="M162" s="47">
        <v>2616</v>
      </c>
      <c r="N162" s="48">
        <f>LOG(K162+([2]Values!$D$8*L162)+([2]Values!$D$9*M162)+(O162*[2]Values!D$10)+(P162*[2]Values!$D$11)+1)</f>
        <v>2.1047519163985937</v>
      </c>
      <c r="O162" s="62">
        <v>3000</v>
      </c>
      <c r="P162" s="62">
        <v>500</v>
      </c>
      <c r="Q162" s="49" t="s">
        <v>23</v>
      </c>
    </row>
    <row r="163" spans="1:17" ht="12.3">
      <c r="A163" s="44">
        <v>43655</v>
      </c>
      <c r="B163" s="45" t="s">
        <v>62</v>
      </c>
      <c r="C163" s="45" t="s">
        <v>693</v>
      </c>
      <c r="D163" s="46" t="s">
        <v>375</v>
      </c>
      <c r="E163" s="45" t="s">
        <v>19</v>
      </c>
      <c r="F163" s="45" t="s">
        <v>20</v>
      </c>
      <c r="G163" s="45">
        <v>10</v>
      </c>
      <c r="H163" s="45" t="s">
        <v>35</v>
      </c>
      <c r="I163" s="57" t="s">
        <v>694</v>
      </c>
      <c r="J163" s="57" t="s">
        <v>695</v>
      </c>
      <c r="K163" s="4">
        <v>1</v>
      </c>
      <c r="L163" s="47">
        <v>3</v>
      </c>
      <c r="M163" s="47">
        <v>765</v>
      </c>
      <c r="N163" s="48">
        <f>LOG(K163+([2]Values!$D$8*L163)+([2]Values!$D$9*M163)+(O163*[2]Values!D$10)+(P163*[2]Values!$D$11)+1)</f>
        <v>1.2774725975488586</v>
      </c>
      <c r="O163" s="62">
        <v>221</v>
      </c>
      <c r="P163" s="45">
        <v>4</v>
      </c>
      <c r="Q163" s="49" t="s">
        <v>23</v>
      </c>
    </row>
    <row r="164" spans="1:17" ht="12.3">
      <c r="A164" s="37">
        <v>43656</v>
      </c>
      <c r="B164" s="36" t="s">
        <v>62</v>
      </c>
      <c r="C164" s="36" t="s">
        <v>693</v>
      </c>
      <c r="D164" s="38" t="s">
        <v>336</v>
      </c>
      <c r="E164" s="36" t="s">
        <v>206</v>
      </c>
      <c r="F164" s="36" t="s">
        <v>20</v>
      </c>
      <c r="G164" s="36">
        <v>9</v>
      </c>
      <c r="H164" s="36" t="s">
        <v>134</v>
      </c>
      <c r="I164" s="36" t="s">
        <v>696</v>
      </c>
      <c r="J164" s="36">
        <v>125</v>
      </c>
      <c r="K164" s="4">
        <v>0</v>
      </c>
      <c r="L164" s="5">
        <v>70</v>
      </c>
      <c r="M164" s="5">
        <v>0</v>
      </c>
      <c r="N164" s="39">
        <f>LOG(K164+([2]Values!$D$8*L164)+([2]Values!$D$9*M164)+(O164*[2]Values!D$10)+(P164*[2]Values!$D$11)+1)</f>
        <v>1.2727925858928149</v>
      </c>
      <c r="O164" s="40">
        <v>0</v>
      </c>
      <c r="P164" s="40">
        <v>0</v>
      </c>
      <c r="Q164" s="41" t="s">
        <v>23</v>
      </c>
    </row>
    <row r="165" spans="1:17" ht="12.3">
      <c r="A165" s="37">
        <v>43658</v>
      </c>
      <c r="B165" s="36" t="s">
        <v>44</v>
      </c>
      <c r="C165" s="36" t="s">
        <v>176</v>
      </c>
      <c r="D165" s="38" t="s">
        <v>285</v>
      </c>
      <c r="E165" s="36" t="s">
        <v>19</v>
      </c>
      <c r="F165" s="36" t="s">
        <v>20</v>
      </c>
      <c r="G165" s="36">
        <v>43</v>
      </c>
      <c r="H165" s="36"/>
      <c r="I165" s="36" t="s">
        <v>697</v>
      </c>
      <c r="J165" s="36" t="s">
        <v>698</v>
      </c>
      <c r="K165" s="4">
        <v>0</v>
      </c>
      <c r="L165" s="5">
        <v>0</v>
      </c>
      <c r="M165" s="5">
        <v>0</v>
      </c>
      <c r="N165" s="39">
        <f>LOG(K165+([2]Values!$D$8*L165)+([2]Values!$D$9*M165)+(O165*[2]Values!D$10)+(P165*[2]Values!$D$11)+1)</f>
        <v>3.958612051870667E-2</v>
      </c>
      <c r="O165" s="40">
        <v>7</v>
      </c>
      <c r="P165" s="40">
        <v>1</v>
      </c>
      <c r="Q165" s="41" t="s">
        <v>23</v>
      </c>
    </row>
    <row r="166" spans="1:17" ht="12.3">
      <c r="A166" s="37">
        <v>43658</v>
      </c>
      <c r="B166" s="36" t="s">
        <v>62</v>
      </c>
      <c r="C166" s="36" t="s">
        <v>699</v>
      </c>
      <c r="D166" s="38" t="s">
        <v>304</v>
      </c>
      <c r="E166" s="36" t="s">
        <v>19</v>
      </c>
      <c r="F166" s="36" t="s">
        <v>20</v>
      </c>
      <c r="G166" s="36">
        <v>5</v>
      </c>
      <c r="H166" s="36" t="s">
        <v>123</v>
      </c>
      <c r="I166" s="36" t="s">
        <v>700</v>
      </c>
      <c r="J166" s="36" t="s">
        <v>701</v>
      </c>
      <c r="K166" s="4">
        <v>0</v>
      </c>
      <c r="L166" s="5">
        <v>59</v>
      </c>
      <c r="M166" s="43">
        <v>9609</v>
      </c>
      <c r="N166" s="39">
        <f>LOG(K166+([2]Values!$D$8*L166)+([2]Values!$D$9*M166)+(O166*[2]Values!D$10)+(P166*[2]Values!$D$11)+1)</f>
        <v>2.3305281642056919</v>
      </c>
      <c r="O166" s="40">
        <v>2158</v>
      </c>
      <c r="P166" s="40">
        <v>67</v>
      </c>
      <c r="Q166" s="41" t="s">
        <v>23</v>
      </c>
    </row>
    <row r="167" spans="1:17" ht="12.3">
      <c r="A167" s="52">
        <v>43659</v>
      </c>
      <c r="B167" s="53" t="s">
        <v>24</v>
      </c>
      <c r="C167" s="53" t="s">
        <v>126</v>
      </c>
      <c r="D167" s="75"/>
      <c r="E167" s="53"/>
      <c r="F167" s="53"/>
      <c r="G167" s="45"/>
      <c r="H167" s="45"/>
      <c r="I167" s="66">
        <v>43692</v>
      </c>
      <c r="J167" s="76" t="s">
        <v>702</v>
      </c>
      <c r="K167" s="4">
        <v>0</v>
      </c>
      <c r="L167" s="5">
        <v>0</v>
      </c>
      <c r="M167" s="5">
        <v>0</v>
      </c>
      <c r="N167" s="39">
        <f>LOG(K167+([2]Values!$D$8*L167)+([2]Values!$D$9*M167)+(O167*[2]Values!D$10)+(P167*[2]Values!$D$11)+1)</f>
        <v>1.9565284656210144E-2</v>
      </c>
      <c r="O167" s="77">
        <v>5</v>
      </c>
      <c r="P167" s="77">
        <v>0</v>
      </c>
      <c r="Q167" s="78" t="s">
        <v>23</v>
      </c>
    </row>
    <row r="168" spans="1:17" ht="12.3">
      <c r="A168" s="52">
        <v>43660</v>
      </c>
      <c r="B168" s="53" t="s">
        <v>661</v>
      </c>
      <c r="C168" s="53" t="s">
        <v>703</v>
      </c>
      <c r="D168" s="75" t="s">
        <v>400</v>
      </c>
      <c r="E168" s="53" t="s">
        <v>19</v>
      </c>
      <c r="F168" s="53" t="s">
        <v>20</v>
      </c>
      <c r="G168" s="45"/>
      <c r="H168" s="45"/>
      <c r="I168" s="76">
        <v>-18347</v>
      </c>
      <c r="J168" s="76">
        <v>120285</v>
      </c>
      <c r="K168" s="4">
        <v>0</v>
      </c>
      <c r="L168" s="5">
        <v>0</v>
      </c>
      <c r="M168" s="5">
        <v>0</v>
      </c>
      <c r="N168" s="39">
        <f>LOG(K168+([2]Values!$D$8*L168)+([2]Values!$D$9*M168)+(O168*[2]Values!D$10)+(P168*[2]Values!$D$11)+1)</f>
        <v>3.9842071266415419E-3</v>
      </c>
      <c r="O168" s="77">
        <v>1</v>
      </c>
      <c r="P168" s="77">
        <v>0</v>
      </c>
      <c r="Q168" s="78" t="s">
        <v>23</v>
      </c>
    </row>
    <row r="169" spans="1:17" ht="12.3">
      <c r="A169" s="44">
        <v>43660</v>
      </c>
      <c r="B169" s="45" t="s">
        <v>44</v>
      </c>
      <c r="C169" s="45" t="s">
        <v>423</v>
      </c>
      <c r="D169" s="46" t="s">
        <v>660</v>
      </c>
      <c r="E169" s="45" t="s">
        <v>19</v>
      </c>
      <c r="F169" s="45" t="s">
        <v>20</v>
      </c>
      <c r="G169" s="45">
        <v>10</v>
      </c>
      <c r="H169" s="45" t="s">
        <v>363</v>
      </c>
      <c r="I169" s="46" t="s">
        <v>704</v>
      </c>
      <c r="J169" s="57">
        <v>128093</v>
      </c>
      <c r="K169" s="4">
        <v>14</v>
      </c>
      <c r="L169" s="47">
        <v>129</v>
      </c>
      <c r="M169" s="47">
        <v>53076</v>
      </c>
      <c r="N169" s="48">
        <f>LOG(K169+([2]Values!$D$8*L169)+([2]Values!$D$9*M169)+(O169*[2]Values!D$10)+(P169*[2]Values!$D$11)+1)</f>
        <v>3.0311246947444066</v>
      </c>
      <c r="O169" s="45">
        <v>1609</v>
      </c>
      <c r="P169" s="62">
        <v>1256</v>
      </c>
      <c r="Q169" s="49" t="s">
        <v>705</v>
      </c>
    </row>
    <row r="170" spans="1:17" ht="12.3">
      <c r="A170" s="37">
        <v>43662</v>
      </c>
      <c r="B170" s="36" t="s">
        <v>44</v>
      </c>
      <c r="C170" s="36" t="s">
        <v>706</v>
      </c>
      <c r="D170" s="50" t="s">
        <v>509</v>
      </c>
      <c r="E170" s="36" t="s">
        <v>19</v>
      </c>
      <c r="F170" s="36" t="s">
        <v>20</v>
      </c>
      <c r="G170" s="36">
        <v>91</v>
      </c>
      <c r="H170" s="36" t="s">
        <v>35</v>
      </c>
      <c r="I170" s="51">
        <v>-8867</v>
      </c>
      <c r="J170" s="51">
        <v>114503</v>
      </c>
      <c r="K170" s="4">
        <v>0</v>
      </c>
      <c r="L170" s="5">
        <v>10</v>
      </c>
      <c r="M170" s="5"/>
      <c r="N170" s="39">
        <f>LOG(K170+([2]Values!$D$8*L170)+([2]Values!$D$9*M170)+(O170*[2]Values!D$10)+(P170*[2]Values!$D$11)+1)</f>
        <v>0.62561789802395773</v>
      </c>
      <c r="O170" s="40">
        <v>68</v>
      </c>
      <c r="P170" s="40">
        <v>2</v>
      </c>
      <c r="Q170" s="41" t="s">
        <v>23</v>
      </c>
    </row>
    <row r="171" spans="1:17" ht="12.3">
      <c r="A171" s="37">
        <v>43665</v>
      </c>
      <c r="B171" s="36" t="s">
        <v>24</v>
      </c>
      <c r="C171" s="36" t="s">
        <v>707</v>
      </c>
      <c r="D171" s="50" t="s">
        <v>375</v>
      </c>
      <c r="E171" s="36" t="s">
        <v>19</v>
      </c>
      <c r="F171" s="36" t="s">
        <v>20</v>
      </c>
      <c r="G171" s="36"/>
      <c r="H171" s="36"/>
      <c r="I171" s="36" t="s">
        <v>708</v>
      </c>
      <c r="J171" s="36" t="s">
        <v>709</v>
      </c>
      <c r="K171" s="4">
        <v>0</v>
      </c>
      <c r="L171" s="5">
        <v>0</v>
      </c>
      <c r="M171" s="5">
        <v>0</v>
      </c>
      <c r="N171" s="39">
        <f>LOG(K171+([2]Values!$D$8*L171)+([2]Values!$D$9*M171)+(O171*[2]Values!D$10)+(P171*[2]Values!$D$11)+1)</f>
        <v>3.8287005558778897E-2</v>
      </c>
      <c r="O171" s="42">
        <v>10</v>
      </c>
      <c r="P171" s="40">
        <v>0</v>
      </c>
      <c r="Q171" s="41" t="s">
        <v>23</v>
      </c>
    </row>
    <row r="172" spans="1:17" ht="12.3">
      <c r="A172" s="37">
        <v>43665</v>
      </c>
      <c r="B172" s="36" t="s">
        <v>156</v>
      </c>
      <c r="C172" s="36" t="s">
        <v>710</v>
      </c>
      <c r="D172" s="38" t="s">
        <v>312</v>
      </c>
      <c r="E172" s="36" t="s">
        <v>19</v>
      </c>
      <c r="F172" s="36" t="s">
        <v>20</v>
      </c>
      <c r="G172" s="36">
        <v>13</v>
      </c>
      <c r="H172" s="36" t="s">
        <v>35</v>
      </c>
      <c r="I172" s="36" t="s">
        <v>711</v>
      </c>
      <c r="J172" s="36" t="s">
        <v>712</v>
      </c>
      <c r="K172" s="4">
        <v>0</v>
      </c>
      <c r="L172" s="5">
        <v>5</v>
      </c>
      <c r="M172" s="5">
        <v>0</v>
      </c>
      <c r="N172" s="39">
        <f>LOG(K172+([2]Values!$D$8*L172)+([2]Values!$D$9*M172)+(O172*[2]Values!D$10)+(P172*[2]Values!$D$11)+1)</f>
        <v>1.5383455885118607</v>
      </c>
      <c r="O172" s="42">
        <v>3200</v>
      </c>
      <c r="P172" s="40">
        <v>90</v>
      </c>
      <c r="Q172" s="41" t="s">
        <v>23</v>
      </c>
    </row>
    <row r="173" spans="1:17" ht="12.3">
      <c r="A173" s="37">
        <v>43667</v>
      </c>
      <c r="B173" s="36" t="s">
        <v>83</v>
      </c>
      <c r="C173" s="36" t="s">
        <v>323</v>
      </c>
      <c r="D173" s="38" t="s">
        <v>336</v>
      </c>
      <c r="E173" s="36" t="s">
        <v>19</v>
      </c>
      <c r="F173" s="36" t="s">
        <v>20</v>
      </c>
      <c r="G173" s="36">
        <v>10</v>
      </c>
      <c r="H173" s="36"/>
      <c r="I173" s="36" t="s">
        <v>713</v>
      </c>
      <c r="J173" s="36" t="s">
        <v>714</v>
      </c>
      <c r="K173" s="4">
        <v>0</v>
      </c>
      <c r="L173" s="5">
        <v>0</v>
      </c>
      <c r="M173" s="5"/>
      <c r="N173" s="39">
        <f>LOG(K173+([2]Values!$D$8*L173)+([2]Values!$D$9*M173)+(O173*[2]Values!D$10)+(P173*[2]Values!$D$11)+1)</f>
        <v>3.8287005558778897E-2</v>
      </c>
      <c r="O173" s="42">
        <v>10</v>
      </c>
      <c r="P173" s="40"/>
      <c r="Q173" s="41" t="s">
        <v>23</v>
      </c>
    </row>
    <row r="174" spans="1:17" ht="12.3">
      <c r="A174" s="37">
        <v>43668</v>
      </c>
      <c r="B174" s="36" t="s">
        <v>346</v>
      </c>
      <c r="C174" s="36" t="s">
        <v>715</v>
      </c>
      <c r="D174" s="38" t="s">
        <v>428</v>
      </c>
      <c r="E174" s="36" t="s">
        <v>19</v>
      </c>
      <c r="F174" s="36" t="s">
        <v>20</v>
      </c>
      <c r="G174" s="36">
        <v>5</v>
      </c>
      <c r="H174" s="36"/>
      <c r="I174" s="51">
        <v>8777</v>
      </c>
      <c r="J174" s="51">
        <v>-71455</v>
      </c>
      <c r="K174" s="4">
        <v>0</v>
      </c>
      <c r="L174" s="5">
        <v>0</v>
      </c>
      <c r="M174" s="5">
        <v>0</v>
      </c>
      <c r="N174" s="39">
        <f>LOG(K174+([2]Values!$D$8*L174)+([2]Values!$D$9*M174)+(O174*[2]Values!D$10)+(P174*[2]Values!$D$11)+1)</f>
        <v>3.9842071266415419E-3</v>
      </c>
      <c r="O174" s="40">
        <v>1</v>
      </c>
      <c r="P174" s="40">
        <v>0</v>
      </c>
      <c r="Q174" s="41" t="s">
        <v>23</v>
      </c>
    </row>
    <row r="175" spans="1:17" ht="12.3">
      <c r="A175" s="37">
        <v>43668</v>
      </c>
      <c r="B175" s="36" t="s">
        <v>17</v>
      </c>
      <c r="C175" s="36" t="s">
        <v>110</v>
      </c>
      <c r="D175" s="38" t="s">
        <v>336</v>
      </c>
      <c r="E175" s="36" t="s">
        <v>19</v>
      </c>
      <c r="F175" s="36" t="s">
        <v>20</v>
      </c>
      <c r="G175" s="36">
        <v>13</v>
      </c>
      <c r="H175" s="36"/>
      <c r="I175" s="51">
        <v>26626</v>
      </c>
      <c r="J175" s="51">
        <v>55085</v>
      </c>
      <c r="K175" s="4">
        <v>0</v>
      </c>
      <c r="L175" s="5">
        <v>0</v>
      </c>
      <c r="M175" s="5">
        <v>0</v>
      </c>
      <c r="N175" s="39">
        <f>LOG(K175+([2]Values!$D$8*L175)+([2]Values!$D$9*M175)+(O175*[2]Values!D$10)+(P175*[2]Values!$D$11)+1)</f>
        <v>4.1936414625051162E-2</v>
      </c>
      <c r="O175" s="40">
        <v>11</v>
      </c>
      <c r="P175" s="40">
        <v>0</v>
      </c>
      <c r="Q175" s="41" t="s">
        <v>23</v>
      </c>
    </row>
    <row r="176" spans="1:17" ht="12.3">
      <c r="A176" s="37">
        <v>43670</v>
      </c>
      <c r="B176" s="36" t="s">
        <v>317</v>
      </c>
      <c r="C176" s="36" t="s">
        <v>716</v>
      </c>
      <c r="D176" s="38" t="s">
        <v>319</v>
      </c>
      <c r="E176" s="36" t="s">
        <v>348</v>
      </c>
      <c r="F176" s="36" t="s">
        <v>20</v>
      </c>
      <c r="G176" s="36"/>
      <c r="H176" s="36"/>
      <c r="I176" s="51" t="s">
        <v>717</v>
      </c>
      <c r="J176" s="51" t="s">
        <v>718</v>
      </c>
      <c r="K176" s="4">
        <v>0</v>
      </c>
      <c r="L176" s="5">
        <v>0</v>
      </c>
      <c r="M176" s="5">
        <v>0</v>
      </c>
      <c r="N176" s="39">
        <f>LOG(K176+([2]Values!$D$8*L176)+([2]Values!$D$9*M176)+(O176*[2]Values!D$10)+(P176*[2]Values!$D$11)+1)</f>
        <v>1.9565284656210144E-2</v>
      </c>
      <c r="O176" s="42">
        <v>5</v>
      </c>
      <c r="P176" s="40">
        <v>0</v>
      </c>
      <c r="Q176" s="41" t="s">
        <v>23</v>
      </c>
    </row>
    <row r="177" spans="1:17" ht="12.3">
      <c r="A177" s="44">
        <v>43670</v>
      </c>
      <c r="B177" s="45" t="s">
        <v>24</v>
      </c>
      <c r="C177" s="45" t="s">
        <v>397</v>
      </c>
      <c r="D177" s="46" t="s">
        <v>442</v>
      </c>
      <c r="E177" s="45" t="s">
        <v>348</v>
      </c>
      <c r="F177" s="45" t="s">
        <v>20</v>
      </c>
      <c r="G177" s="45">
        <v>2</v>
      </c>
      <c r="H177" s="45"/>
      <c r="I177" s="45">
        <v>20</v>
      </c>
      <c r="J177" s="45" t="s">
        <v>719</v>
      </c>
      <c r="K177" s="4">
        <v>1</v>
      </c>
      <c r="L177" s="47">
        <v>1</v>
      </c>
      <c r="M177" s="47"/>
      <c r="N177" s="48">
        <f>LOG(K177+([2]Values!$D$8*L177)+([2]Values!$D$9*M177)+(O177*[2]Values!D$10)+(P177*[2]Values!$D$11)+1)</f>
        <v>0.8383740101128685</v>
      </c>
      <c r="O177" s="45">
        <v>500</v>
      </c>
      <c r="P177" s="45">
        <v>1</v>
      </c>
      <c r="Q177" s="49" t="s">
        <v>23</v>
      </c>
    </row>
    <row r="178" spans="1:17" ht="12.3">
      <c r="A178" s="37">
        <v>43671</v>
      </c>
      <c r="B178" s="36" t="s">
        <v>317</v>
      </c>
      <c r="C178" s="36" t="s">
        <v>716</v>
      </c>
      <c r="D178" s="38" t="s">
        <v>470</v>
      </c>
      <c r="E178" s="36" t="s">
        <v>348</v>
      </c>
      <c r="F178" s="36" t="s">
        <v>20</v>
      </c>
      <c r="G178" s="36"/>
      <c r="H178" s="36"/>
      <c r="I178" s="51" t="s">
        <v>720</v>
      </c>
      <c r="J178" s="51" t="s">
        <v>721</v>
      </c>
      <c r="K178" s="4">
        <v>0</v>
      </c>
      <c r="L178" s="5">
        <v>0</v>
      </c>
      <c r="M178" s="5">
        <v>0</v>
      </c>
      <c r="N178" s="39">
        <f>LOG(K178+([2]Values!$D$8*L178)+([2]Values!$D$9*M178)+(O178*[2]Values!D$10)+(P178*[2]Values!$D$11)+1)</f>
        <v>3.8287005558778897E-2</v>
      </c>
      <c r="O178" s="42">
        <v>10</v>
      </c>
      <c r="P178" s="40">
        <v>0</v>
      </c>
      <c r="Q178" s="41" t="s">
        <v>23</v>
      </c>
    </row>
    <row r="179" spans="1:17" ht="12.3">
      <c r="A179" s="44">
        <v>43672</v>
      </c>
      <c r="B179" s="45" t="s">
        <v>62</v>
      </c>
      <c r="C179" s="45" t="s">
        <v>722</v>
      </c>
      <c r="D179" s="46" t="s">
        <v>424</v>
      </c>
      <c r="E179" s="45" t="s">
        <v>107</v>
      </c>
      <c r="F179" s="45" t="s">
        <v>20</v>
      </c>
      <c r="G179" s="45"/>
      <c r="H179" s="45"/>
      <c r="I179" s="45" t="s">
        <v>723</v>
      </c>
      <c r="J179" s="45" t="s">
        <v>724</v>
      </c>
      <c r="K179" s="4">
        <v>9</v>
      </c>
      <c r="L179" s="47">
        <v>64</v>
      </c>
      <c r="M179" s="47">
        <v>261</v>
      </c>
      <c r="N179" s="48">
        <f>LOG(K179+([2]Values!$D$8*L179)+([2]Values!$D$9*M179)+(O179*[2]Values!D$10)+(P179*[2]Values!$D$11)+1)</f>
        <v>1.5688679968170085</v>
      </c>
      <c r="O179" s="45">
        <v>36</v>
      </c>
      <c r="P179" s="45">
        <v>185</v>
      </c>
      <c r="Q179" s="49" t="s">
        <v>23</v>
      </c>
    </row>
    <row r="180" spans="1:17" ht="12.3">
      <c r="A180" s="37">
        <v>43674</v>
      </c>
      <c r="B180" s="36" t="s">
        <v>44</v>
      </c>
      <c r="C180" s="36" t="s">
        <v>725</v>
      </c>
      <c r="D180" s="38" t="s">
        <v>312</v>
      </c>
      <c r="E180" s="36" t="s">
        <v>19</v>
      </c>
      <c r="F180" s="36" t="s">
        <v>20</v>
      </c>
      <c r="G180" s="36">
        <v>53</v>
      </c>
      <c r="H180" s="36"/>
      <c r="I180" s="51">
        <v>-6976</v>
      </c>
      <c r="J180" s="51">
        <v>106212</v>
      </c>
      <c r="K180" s="4">
        <v>0</v>
      </c>
      <c r="L180" s="5">
        <v>0</v>
      </c>
      <c r="M180" s="5">
        <v>0</v>
      </c>
      <c r="N180" s="39">
        <f>LOG(K180+([2]Values!$D$8*L180)+([2]Values!$D$9*M180)+(O180*[2]Values!D$10)+(P180*[2]Values!$D$11)+1)</f>
        <v>1.5722107348246354E-2</v>
      </c>
      <c r="O180" s="40">
        <v>4</v>
      </c>
      <c r="P180" s="40">
        <v>0</v>
      </c>
      <c r="Q180" s="41" t="s">
        <v>23</v>
      </c>
    </row>
    <row r="181" spans="1:17" ht="12.3">
      <c r="A181" s="37">
        <v>43675</v>
      </c>
      <c r="B181" s="36" t="s">
        <v>726</v>
      </c>
      <c r="C181" s="36" t="s">
        <v>727</v>
      </c>
      <c r="D181" s="38" t="s">
        <v>648</v>
      </c>
      <c r="E181" s="36" t="s">
        <v>19</v>
      </c>
      <c r="F181" s="36" t="s">
        <v>20</v>
      </c>
      <c r="G181" s="36">
        <v>4</v>
      </c>
      <c r="H181" s="36" t="s">
        <v>134</v>
      </c>
      <c r="I181" s="36" t="s">
        <v>728</v>
      </c>
      <c r="J181" s="67">
        <v>43778</v>
      </c>
      <c r="K181" s="4">
        <v>0</v>
      </c>
      <c r="L181" s="5">
        <v>0</v>
      </c>
      <c r="M181" s="5">
        <v>0</v>
      </c>
      <c r="N181" s="39">
        <f>LOG(K181+([2]Values!$D$8*L181)+([2]Values!$D$9*M181)+(O181*[2]Values!D$10)+(P181*[2]Values!$D$11)+1)</f>
        <v>3.9842071266415419E-3</v>
      </c>
      <c r="O181" s="40">
        <v>1</v>
      </c>
      <c r="P181" s="40">
        <v>0</v>
      </c>
      <c r="Q181" s="41" t="s">
        <v>23</v>
      </c>
    </row>
    <row r="182" spans="1:17" ht="12.3">
      <c r="A182" s="37">
        <v>43677</v>
      </c>
      <c r="B182" s="36" t="s">
        <v>404</v>
      </c>
      <c r="C182" s="36" t="s">
        <v>729</v>
      </c>
      <c r="D182" s="50" t="s">
        <v>580</v>
      </c>
      <c r="E182" s="36" t="s">
        <v>19</v>
      </c>
      <c r="F182" s="36" t="s">
        <v>20</v>
      </c>
      <c r="G182" s="36"/>
      <c r="H182" s="36" t="s">
        <v>134</v>
      </c>
      <c r="I182" s="36" t="s">
        <v>730</v>
      </c>
      <c r="J182" s="36" t="s">
        <v>731</v>
      </c>
      <c r="K182" s="4">
        <v>0</v>
      </c>
      <c r="L182" s="5">
        <v>0</v>
      </c>
      <c r="M182" s="5">
        <v>0</v>
      </c>
      <c r="N182" s="39">
        <f>LOG(K182+([2]Values!$D$8*L182)+([2]Values!$D$9*M182)+(O182*[2]Values!D$10)+(P182*[2]Values!$D$11)+1)</f>
        <v>3.9842071266415419E-3</v>
      </c>
      <c r="O182" s="40">
        <v>1</v>
      </c>
      <c r="P182" s="40">
        <v>0</v>
      </c>
      <c r="Q182" s="41" t="s">
        <v>23</v>
      </c>
    </row>
    <row r="183" spans="1:17" ht="12.3">
      <c r="A183" s="37">
        <v>43677</v>
      </c>
      <c r="B183" s="36" t="s">
        <v>292</v>
      </c>
      <c r="C183" s="36" t="s">
        <v>631</v>
      </c>
      <c r="D183" s="38" t="s">
        <v>464</v>
      </c>
      <c r="E183" s="36" t="s">
        <v>19</v>
      </c>
      <c r="F183" s="36" t="s">
        <v>20</v>
      </c>
      <c r="G183" s="36">
        <v>13</v>
      </c>
      <c r="H183" s="36"/>
      <c r="I183" s="36" t="s">
        <v>732</v>
      </c>
      <c r="J183" s="36" t="s">
        <v>733</v>
      </c>
      <c r="K183" s="4">
        <v>0</v>
      </c>
      <c r="L183" s="5">
        <v>0</v>
      </c>
      <c r="M183" s="5">
        <v>0</v>
      </c>
      <c r="N183" s="39">
        <f>LOG(K183+([2]Values!$D$8*L183)+([2]Values!$D$9*M183)+(O183*[2]Values!D$10)+(P183*[2]Values!$D$11)+1)</f>
        <v>1.9565284656210144E-2</v>
      </c>
      <c r="O183" s="42">
        <v>5</v>
      </c>
      <c r="P183" s="40">
        <v>0</v>
      </c>
      <c r="Q183" s="41" t="s">
        <v>23</v>
      </c>
    </row>
    <row r="184" spans="1:17" ht="12.3">
      <c r="A184" s="38" t="s">
        <v>734</v>
      </c>
      <c r="B184" s="36" t="s">
        <v>735</v>
      </c>
      <c r="C184" s="36" t="s">
        <v>736</v>
      </c>
      <c r="D184" s="38"/>
      <c r="E184" s="36" t="s">
        <v>107</v>
      </c>
      <c r="F184" s="36" t="s">
        <v>69</v>
      </c>
      <c r="G184" s="36">
        <v>1</v>
      </c>
      <c r="H184" s="36"/>
      <c r="I184" s="36" t="s">
        <v>737</v>
      </c>
      <c r="J184" s="36" t="s">
        <v>137</v>
      </c>
      <c r="K184" s="4">
        <v>0</v>
      </c>
      <c r="L184" s="5">
        <v>0</v>
      </c>
      <c r="M184" s="5">
        <v>0</v>
      </c>
      <c r="N184" s="39">
        <f>LOG(K184+([2]Values!$D$8*L184)+([2]Values!$D$9*M184)+(O184*[2]Values!D$10)+(P184*[2]Values!$D$11)+1)</f>
        <v>0.34747691196626307</v>
      </c>
      <c r="O184" s="40">
        <v>133</v>
      </c>
      <c r="P184" s="40">
        <v>0</v>
      </c>
      <c r="Q184" s="41" t="s">
        <v>23</v>
      </c>
    </row>
    <row r="185" spans="1:17" ht="12.3">
      <c r="A185" s="37">
        <v>43678</v>
      </c>
      <c r="B185" s="36" t="s">
        <v>661</v>
      </c>
      <c r="C185" s="36" t="s">
        <v>738</v>
      </c>
      <c r="D185" s="38" t="s">
        <v>424</v>
      </c>
      <c r="E185" s="36" t="s">
        <v>19</v>
      </c>
      <c r="F185" s="36" t="s">
        <v>20</v>
      </c>
      <c r="G185" s="36"/>
      <c r="H185" s="36"/>
      <c r="I185" s="36" t="s">
        <v>739</v>
      </c>
      <c r="J185" s="36" t="s">
        <v>740</v>
      </c>
      <c r="K185" s="4">
        <v>0</v>
      </c>
      <c r="L185" s="5">
        <v>0</v>
      </c>
      <c r="M185" s="5">
        <v>0</v>
      </c>
      <c r="N185" s="39">
        <f>LOG(K185+([2]Values!$D$8*L185)+([2]Values!$D$9*M185)+(O185*[2]Values!D$10)+(P185*[2]Values!$D$11)+1)</f>
        <v>3.8287005558778897E-2</v>
      </c>
      <c r="O185" s="42">
        <v>10</v>
      </c>
      <c r="P185" s="40">
        <v>0</v>
      </c>
      <c r="Q185" s="41" t="s">
        <v>23</v>
      </c>
    </row>
    <row r="186" spans="1:17" ht="12.3">
      <c r="A186" s="37">
        <v>43678</v>
      </c>
      <c r="B186" s="36" t="s">
        <v>359</v>
      </c>
      <c r="C186" s="36" t="s">
        <v>741</v>
      </c>
      <c r="D186" s="50" t="s">
        <v>400</v>
      </c>
      <c r="E186" s="36" t="s">
        <v>19</v>
      </c>
      <c r="F186" s="36" t="s">
        <v>20</v>
      </c>
      <c r="G186" s="36">
        <v>20</v>
      </c>
      <c r="H186" s="36"/>
      <c r="I186" s="36" t="s">
        <v>742</v>
      </c>
      <c r="J186" s="36" t="s">
        <v>743</v>
      </c>
      <c r="K186" s="4">
        <v>0</v>
      </c>
      <c r="L186" s="5">
        <v>0</v>
      </c>
      <c r="M186" s="5">
        <v>0</v>
      </c>
      <c r="N186" s="39">
        <f>LOG(K186+([2]Values!$D$8*L186)+([2]Values!$D$9*M186)+(O186*[2]Values!D$10)+(P186*[2]Values!$D$11)+1)</f>
        <v>3.8287005558778897E-2</v>
      </c>
      <c r="O186" s="42">
        <v>10</v>
      </c>
      <c r="P186" s="40">
        <v>0</v>
      </c>
      <c r="Q186" s="41" t="s">
        <v>23</v>
      </c>
    </row>
    <row r="187" spans="1:17" ht="12.3">
      <c r="A187" s="44">
        <v>43679</v>
      </c>
      <c r="B187" s="45" t="s">
        <v>44</v>
      </c>
      <c r="C187" s="45" t="s">
        <v>725</v>
      </c>
      <c r="D187" s="46" t="s">
        <v>689</v>
      </c>
      <c r="E187" s="45" t="s">
        <v>19</v>
      </c>
      <c r="F187" s="45" t="s">
        <v>20</v>
      </c>
      <c r="G187" s="45">
        <v>53</v>
      </c>
      <c r="H187" s="45"/>
      <c r="I187" s="57">
        <v>-7267</v>
      </c>
      <c r="J187" s="57">
        <v>104825</v>
      </c>
      <c r="K187" s="4">
        <v>8</v>
      </c>
      <c r="L187" s="47">
        <v>2</v>
      </c>
      <c r="M187" s="47">
        <v>600</v>
      </c>
      <c r="N187" s="48">
        <f>LOG(K187+([2]Values!$D$8*L187)+([2]Values!$D$9*M187)+(O187*[2]Values!D$10)+(P187*[2]Values!$D$11)+1)</f>
        <v>1.4601610238851315</v>
      </c>
      <c r="O187" s="45">
        <v>721</v>
      </c>
      <c r="P187" s="45">
        <v>55</v>
      </c>
      <c r="Q187" s="49" t="s">
        <v>23</v>
      </c>
    </row>
    <row r="188" spans="1:17" ht="12.3">
      <c r="A188" s="37">
        <v>43681</v>
      </c>
      <c r="B188" s="36" t="s">
        <v>258</v>
      </c>
      <c r="C188" s="36" t="s">
        <v>744</v>
      </c>
      <c r="D188" s="50" t="s">
        <v>745</v>
      </c>
      <c r="E188" s="36" t="s">
        <v>19</v>
      </c>
      <c r="F188" s="36" t="s">
        <v>20</v>
      </c>
      <c r="G188" s="36">
        <v>45</v>
      </c>
      <c r="H188" s="36"/>
      <c r="I188" s="36" t="s">
        <v>746</v>
      </c>
      <c r="J188" s="36" t="s">
        <v>747</v>
      </c>
      <c r="K188" s="4">
        <v>0</v>
      </c>
      <c r="L188" s="5">
        <v>1</v>
      </c>
      <c r="M188" s="5">
        <v>0</v>
      </c>
      <c r="N188" s="39">
        <f>LOG(K188+([2]Values!$D$8*L188)+([2]Values!$D$9*M188)+(O188*[2]Values!D$10)+(P188*[2]Values!$D$11)+1)</f>
        <v>9.8104502484878398E-2</v>
      </c>
      <c r="O188" s="40">
        <v>0</v>
      </c>
      <c r="P188" s="40">
        <v>0</v>
      </c>
      <c r="Q188" s="41" t="s">
        <v>23</v>
      </c>
    </row>
    <row r="189" spans="1:17" ht="12.3">
      <c r="A189" s="37">
        <v>43681</v>
      </c>
      <c r="B189" s="36" t="s">
        <v>17</v>
      </c>
      <c r="C189" s="36" t="s">
        <v>748</v>
      </c>
      <c r="D189" s="38" t="s">
        <v>391</v>
      </c>
      <c r="E189" s="36" t="s">
        <v>19</v>
      </c>
      <c r="F189" s="36" t="s">
        <v>20</v>
      </c>
      <c r="G189" s="36">
        <v>10</v>
      </c>
      <c r="H189" s="36"/>
      <c r="I189" s="36" t="s">
        <v>749</v>
      </c>
      <c r="J189" s="36" t="s">
        <v>750</v>
      </c>
      <c r="K189" s="4">
        <v>0</v>
      </c>
      <c r="L189" s="5">
        <v>5</v>
      </c>
      <c r="M189" s="5"/>
      <c r="N189" s="39">
        <f>LOG(K189+([2]Values!$D$8*L189)+([2]Values!$D$9*M189)+(O189*[2]Values!D$10)+(P189*[2]Values!$D$11)+1)</f>
        <v>0.38119751380738814</v>
      </c>
      <c r="O189" s="42">
        <v>15</v>
      </c>
      <c r="P189" s="40"/>
      <c r="Q189" s="41" t="s">
        <v>23</v>
      </c>
    </row>
    <row r="190" spans="1:17" ht="12.3">
      <c r="A190" s="44">
        <v>43684</v>
      </c>
      <c r="B190" s="45" t="s">
        <v>570</v>
      </c>
      <c r="C190" s="45" t="s">
        <v>751</v>
      </c>
      <c r="D190" s="46" t="s">
        <v>525</v>
      </c>
      <c r="E190" s="45" t="s">
        <v>19</v>
      </c>
      <c r="F190" s="45" t="s">
        <v>20</v>
      </c>
      <c r="G190" s="45">
        <v>22</v>
      </c>
      <c r="H190" s="45"/>
      <c r="I190" s="45" t="s">
        <v>752</v>
      </c>
      <c r="J190" s="45" t="s">
        <v>753</v>
      </c>
      <c r="K190" s="4">
        <v>1</v>
      </c>
      <c r="L190" s="47">
        <v>0</v>
      </c>
      <c r="M190" s="47">
        <v>0</v>
      </c>
      <c r="N190" s="48">
        <f>LOG(K190+([2]Values!$D$8*L190)+([2]Values!$D$9*M190)+(O190*[2]Values!D$10)+(P190*[2]Values!$D$11)+1)</f>
        <v>0.33931700122275998</v>
      </c>
      <c r="O190" s="62">
        <v>20</v>
      </c>
      <c r="P190" s="45">
        <v>0</v>
      </c>
      <c r="Q190" s="49" t="s">
        <v>23</v>
      </c>
    </row>
    <row r="191" spans="1:17" ht="12.3">
      <c r="A191" s="37">
        <v>43685</v>
      </c>
      <c r="B191" s="36" t="s">
        <v>199</v>
      </c>
      <c r="C191" s="36" t="s">
        <v>754</v>
      </c>
      <c r="D191" s="38" t="s">
        <v>648</v>
      </c>
      <c r="E191" s="36" t="s">
        <v>19</v>
      </c>
      <c r="F191" s="36" t="s">
        <v>20</v>
      </c>
      <c r="G191" s="36">
        <v>2</v>
      </c>
      <c r="H191" s="36"/>
      <c r="I191" s="36" t="s">
        <v>566</v>
      </c>
      <c r="J191" s="59">
        <v>43719</v>
      </c>
      <c r="K191" s="4">
        <v>0</v>
      </c>
      <c r="L191" s="5">
        <v>0</v>
      </c>
      <c r="M191" s="5">
        <v>0</v>
      </c>
      <c r="N191" s="39">
        <f>LOG(K191+([2]Values!$D$8*L191)+([2]Values!$D$9*M191)+(O191*[2]Values!D$10)+(P191*[2]Values!$D$11)+1)</f>
        <v>3.9842071266415419E-3</v>
      </c>
      <c r="O191" s="40">
        <v>1</v>
      </c>
      <c r="P191" s="40">
        <v>0</v>
      </c>
      <c r="Q191" s="41" t="s">
        <v>23</v>
      </c>
    </row>
    <row r="192" spans="1:17" ht="12.3">
      <c r="A192" s="37">
        <v>43685</v>
      </c>
      <c r="B192" s="36" t="s">
        <v>105</v>
      </c>
      <c r="C192" s="36" t="s">
        <v>508</v>
      </c>
      <c r="D192" s="50" t="s">
        <v>364</v>
      </c>
      <c r="E192" s="36" t="s">
        <v>19</v>
      </c>
      <c r="F192" s="36" t="s">
        <v>20</v>
      </c>
      <c r="G192" s="36">
        <v>7</v>
      </c>
      <c r="H192" s="36"/>
      <c r="I192" s="36" t="s">
        <v>755</v>
      </c>
      <c r="J192" s="36" t="s">
        <v>756</v>
      </c>
      <c r="K192" s="4">
        <v>0</v>
      </c>
      <c r="L192" s="5">
        <v>81</v>
      </c>
      <c r="M192" s="43">
        <v>750</v>
      </c>
      <c r="N192" s="39">
        <f>LOG(K192+([2]Values!$D$8*L192)+([2]Values!$D$9*M192)+(O192*[2]Values!D$10)+(P192*[2]Values!$D$11)+1)</f>
        <v>1.6685369458172843</v>
      </c>
      <c r="O192" s="42">
        <v>868</v>
      </c>
      <c r="P192" s="42">
        <v>108</v>
      </c>
      <c r="Q192" s="41" t="s">
        <v>23</v>
      </c>
    </row>
    <row r="193" spans="1:17" ht="12.3">
      <c r="A193" s="37">
        <v>43687</v>
      </c>
      <c r="B193" s="36" t="s">
        <v>419</v>
      </c>
      <c r="C193" s="36" t="s">
        <v>757</v>
      </c>
      <c r="D193" s="38" t="s">
        <v>336</v>
      </c>
      <c r="E193" s="36" t="s">
        <v>19</v>
      </c>
      <c r="F193" s="36" t="s">
        <v>20</v>
      </c>
      <c r="G193" s="36">
        <v>5</v>
      </c>
      <c r="H193" s="36"/>
      <c r="I193" s="36" t="s">
        <v>758</v>
      </c>
      <c r="J193" s="36" t="s">
        <v>759</v>
      </c>
      <c r="K193" s="4">
        <v>0</v>
      </c>
      <c r="L193" s="5">
        <v>5</v>
      </c>
      <c r="M193" s="5">
        <v>1</v>
      </c>
      <c r="N193" s="39">
        <f>LOG(K193+([2]Values!$D$8*L193)+([2]Values!$D$9*M193)+(O193*[2]Values!D$10)+(P193*[2]Values!$D$11)+1)</f>
        <v>0.42896251657636297</v>
      </c>
      <c r="O193" s="42">
        <v>40</v>
      </c>
      <c r="P193" s="40">
        <v>1</v>
      </c>
      <c r="Q193" s="41" t="s">
        <v>23</v>
      </c>
    </row>
    <row r="194" spans="1:17" ht="12.3">
      <c r="A194" s="37">
        <v>43689</v>
      </c>
      <c r="B194" s="36" t="s">
        <v>760</v>
      </c>
      <c r="C194" s="36" t="s">
        <v>761</v>
      </c>
      <c r="D194" s="38" t="s">
        <v>340</v>
      </c>
      <c r="E194" s="36" t="s">
        <v>19</v>
      </c>
      <c r="F194" s="36" t="s">
        <v>20</v>
      </c>
      <c r="G194" s="36">
        <v>20</v>
      </c>
      <c r="H194" s="36" t="s">
        <v>35</v>
      </c>
      <c r="I194" s="36" t="s">
        <v>762</v>
      </c>
      <c r="J194" s="36" t="s">
        <v>763</v>
      </c>
      <c r="K194" s="4">
        <v>0</v>
      </c>
      <c r="L194" s="5">
        <v>0</v>
      </c>
      <c r="M194" s="5">
        <v>0</v>
      </c>
      <c r="N194" s="39">
        <f>LOG(K194+([2]Values!$D$8*L194)+([2]Values!$D$9*M194)+(O194*[2]Values!D$10)+(P194*[2]Values!$D$11)+1)</f>
        <v>3.9842071266415419E-3</v>
      </c>
      <c r="O194" s="40">
        <v>1</v>
      </c>
      <c r="P194" s="40">
        <v>0</v>
      </c>
      <c r="Q194" s="41" t="s">
        <v>23</v>
      </c>
    </row>
    <row r="195" spans="1:17" ht="12.3">
      <c r="A195" s="37">
        <v>43689</v>
      </c>
      <c r="B195" s="36" t="s">
        <v>33</v>
      </c>
      <c r="C195" s="36" t="s">
        <v>399</v>
      </c>
      <c r="D195" s="50" t="s">
        <v>304</v>
      </c>
      <c r="E195" s="36" t="s">
        <v>19</v>
      </c>
      <c r="F195" s="36" t="s">
        <v>20</v>
      </c>
      <c r="G195" s="36">
        <v>104</v>
      </c>
      <c r="H195" s="36"/>
      <c r="I195" s="36" t="s">
        <v>764</v>
      </c>
      <c r="J195" s="36" t="s">
        <v>765</v>
      </c>
      <c r="K195" s="4">
        <v>0</v>
      </c>
      <c r="L195" s="5">
        <v>0</v>
      </c>
      <c r="M195" s="5">
        <v>0</v>
      </c>
      <c r="N195" s="39">
        <f>LOG(K195+([2]Values!$D$8*L195)+([2]Values!$D$9*M195)+(O195*[2]Values!D$10)+(P195*[2]Values!$D$11)+1)</f>
        <v>3.9842071266415419E-3</v>
      </c>
      <c r="O195" s="40">
        <v>1</v>
      </c>
      <c r="P195" s="40">
        <v>0</v>
      </c>
      <c r="Q195" s="41" t="s">
        <v>23</v>
      </c>
    </row>
    <row r="196" spans="1:17" ht="12.3">
      <c r="A196" s="37">
        <v>43690</v>
      </c>
      <c r="B196" s="36" t="s">
        <v>72</v>
      </c>
      <c r="C196" s="36" t="s">
        <v>73</v>
      </c>
      <c r="D196" s="38" t="s">
        <v>391</v>
      </c>
      <c r="E196" s="36" t="s">
        <v>19</v>
      </c>
      <c r="F196" s="36" t="s">
        <v>20</v>
      </c>
      <c r="G196" s="36">
        <v>25</v>
      </c>
      <c r="H196" s="36"/>
      <c r="I196" s="36" t="s">
        <v>766</v>
      </c>
      <c r="J196" s="36" t="s">
        <v>767</v>
      </c>
      <c r="K196" s="4">
        <v>0</v>
      </c>
      <c r="L196" s="5">
        <v>1</v>
      </c>
      <c r="M196" s="5">
        <v>25</v>
      </c>
      <c r="N196" s="39">
        <f>LOG(K196+([2]Values!$D$8*L196)+([2]Values!$D$9*M196)+(O196*[2]Values!D$10)+(P196*[2]Values!$D$11)+1)</f>
        <v>0.45530978835627856</v>
      </c>
      <c r="O196" s="40">
        <v>97</v>
      </c>
      <c r="P196" s="40">
        <v>8</v>
      </c>
      <c r="Q196" s="41" t="s">
        <v>23</v>
      </c>
    </row>
    <row r="197" spans="1:17" ht="12.3">
      <c r="A197" s="37">
        <v>43693</v>
      </c>
      <c r="B197" s="36" t="s">
        <v>17</v>
      </c>
      <c r="C197" s="36" t="s">
        <v>768</v>
      </c>
      <c r="D197" s="38" t="s">
        <v>297</v>
      </c>
      <c r="E197" s="36" t="s">
        <v>19</v>
      </c>
      <c r="F197" s="36" t="s">
        <v>20</v>
      </c>
      <c r="G197" s="36">
        <v>10</v>
      </c>
      <c r="H197" s="36"/>
      <c r="I197" s="51">
        <v>37972</v>
      </c>
      <c r="J197" s="51">
        <v>46559</v>
      </c>
      <c r="K197" s="4">
        <v>0</v>
      </c>
      <c r="L197" s="5">
        <v>0</v>
      </c>
      <c r="M197" s="5">
        <v>1</v>
      </c>
      <c r="N197" s="39">
        <f>LOG(K197+([2]Values!$D$8*L197)+([2]Values!$D$9*M197)+(O197*[2]Values!D$10)+(P197*[2]Values!$D$11)+1)</f>
        <v>3.9545948475338003E-2</v>
      </c>
      <c r="O197" s="42">
        <v>5</v>
      </c>
      <c r="P197" s="40">
        <v>1</v>
      </c>
      <c r="Q197" s="41" t="s">
        <v>23</v>
      </c>
    </row>
    <row r="198" spans="1:17" ht="12.3">
      <c r="A198" s="37">
        <v>43693</v>
      </c>
      <c r="B198" s="36" t="s">
        <v>39</v>
      </c>
      <c r="C198" s="36" t="s">
        <v>95</v>
      </c>
      <c r="D198" s="38" t="s">
        <v>282</v>
      </c>
      <c r="E198" s="36" t="s">
        <v>19</v>
      </c>
      <c r="F198" s="36" t="s">
        <v>96</v>
      </c>
      <c r="G198" s="36">
        <v>5</v>
      </c>
      <c r="H198" s="36"/>
      <c r="I198" s="36" t="s">
        <v>97</v>
      </c>
      <c r="J198" s="51">
        <v>-97988</v>
      </c>
      <c r="K198" s="4">
        <v>0</v>
      </c>
      <c r="L198" s="5">
        <v>0</v>
      </c>
      <c r="M198" s="5">
        <v>0</v>
      </c>
      <c r="N198" s="39">
        <f>LOG(K198+([2]Values!$D$8*L198)+([2]Values!$D$9*M198)+(O198*[2]Values!D$10)+(P198*[2]Values!$D$11)+1)</f>
        <v>5.6234907072035586E-2</v>
      </c>
      <c r="O198" s="42">
        <v>15</v>
      </c>
      <c r="P198" s="40"/>
      <c r="Q198" s="41" t="s">
        <v>23</v>
      </c>
    </row>
    <row r="199" spans="1:17" ht="12.3">
      <c r="A199" s="37">
        <v>43695</v>
      </c>
      <c r="B199" s="36" t="s">
        <v>226</v>
      </c>
      <c r="C199" s="36" t="s">
        <v>769</v>
      </c>
      <c r="D199" s="38" t="s">
        <v>285</v>
      </c>
      <c r="E199" s="36" t="s">
        <v>19</v>
      </c>
      <c r="F199" s="36" t="s">
        <v>20</v>
      </c>
      <c r="G199" s="36">
        <v>40</v>
      </c>
      <c r="H199" s="36"/>
      <c r="I199" s="51">
        <v>18486</v>
      </c>
      <c r="J199" s="51">
        <v>94511</v>
      </c>
      <c r="K199" s="4">
        <v>0</v>
      </c>
      <c r="L199" s="5">
        <v>0</v>
      </c>
      <c r="M199" s="5">
        <v>0</v>
      </c>
      <c r="N199" s="39">
        <f>LOG(K199+([2]Values!$D$8*L199)+([2]Values!$D$9*M199)+(O199*[2]Values!D$10)+(P199*[2]Values!$D$11)+1)</f>
        <v>3.9842071266415419E-3</v>
      </c>
      <c r="O199" s="40">
        <v>1</v>
      </c>
      <c r="P199" s="40">
        <v>0</v>
      </c>
      <c r="Q199" s="41" t="s">
        <v>23</v>
      </c>
    </row>
    <row r="200" spans="1:17" ht="12.3">
      <c r="A200" s="37">
        <v>43696</v>
      </c>
      <c r="B200" s="36" t="s">
        <v>24</v>
      </c>
      <c r="C200" s="36" t="s">
        <v>770</v>
      </c>
      <c r="D200" s="38" t="s">
        <v>771</v>
      </c>
      <c r="E200" s="36" t="s">
        <v>348</v>
      </c>
      <c r="F200" s="36" t="s">
        <v>412</v>
      </c>
      <c r="G200" s="36"/>
      <c r="H200" s="36"/>
      <c r="I200" s="36" t="s">
        <v>772</v>
      </c>
      <c r="J200" s="36" t="s">
        <v>773</v>
      </c>
      <c r="K200" s="4">
        <v>0</v>
      </c>
      <c r="L200" s="5">
        <v>0</v>
      </c>
      <c r="M200" s="5">
        <v>0</v>
      </c>
      <c r="N200" s="39">
        <f>LOG(K200+([2]Values!$D$8*L200)+([2]Values!$D$9*M200)+(O200*[2]Values!D$10)+(P200*[2]Values!$D$11)+1)</f>
        <v>9.5575420928344354E-2</v>
      </c>
      <c r="O200" s="42">
        <v>20</v>
      </c>
      <c r="P200" s="40">
        <v>2</v>
      </c>
      <c r="Q200" s="41" t="s">
        <v>23</v>
      </c>
    </row>
    <row r="201" spans="1:17" ht="12.3">
      <c r="A201" s="37">
        <v>43696</v>
      </c>
      <c r="B201" s="36" t="s">
        <v>72</v>
      </c>
      <c r="C201" s="36" t="s">
        <v>437</v>
      </c>
      <c r="D201" s="38" t="s">
        <v>340</v>
      </c>
      <c r="E201" s="36" t="s">
        <v>19</v>
      </c>
      <c r="F201" s="36" t="s">
        <v>20</v>
      </c>
      <c r="G201" s="36">
        <v>22</v>
      </c>
      <c r="H201" s="36"/>
      <c r="I201" s="36" t="s">
        <v>774</v>
      </c>
      <c r="J201" s="36" t="s">
        <v>775</v>
      </c>
      <c r="K201" s="4">
        <v>0</v>
      </c>
      <c r="L201" s="5">
        <v>0</v>
      </c>
      <c r="M201" s="5">
        <v>0</v>
      </c>
      <c r="N201" s="39">
        <f>LOG(K201+([2]Values!$D$8*L201)+([2]Values!$D$9*M201)+(O201*[2]Values!D$10)+(P201*[2]Values!$D$11)+1)</f>
        <v>0.18949785524849713</v>
      </c>
      <c r="O201" s="40">
        <v>56</v>
      </c>
      <c r="P201" s="40">
        <v>1</v>
      </c>
      <c r="Q201" s="41" t="s">
        <v>23</v>
      </c>
    </row>
    <row r="202" spans="1:17" ht="12.3">
      <c r="A202" s="37">
        <v>43697</v>
      </c>
      <c r="B202" s="36" t="s">
        <v>44</v>
      </c>
      <c r="C202" s="36" t="s">
        <v>57</v>
      </c>
      <c r="D202" s="38" t="s">
        <v>282</v>
      </c>
      <c r="E202" s="36" t="s">
        <v>348</v>
      </c>
      <c r="F202" s="36" t="s">
        <v>20</v>
      </c>
      <c r="G202" s="36"/>
      <c r="H202" s="36"/>
      <c r="I202" s="36" t="s">
        <v>777</v>
      </c>
      <c r="J202" s="36" t="s">
        <v>778</v>
      </c>
      <c r="K202" s="4">
        <v>0</v>
      </c>
      <c r="L202" s="5">
        <v>0</v>
      </c>
      <c r="M202" s="5"/>
      <c r="N202" s="39">
        <f>LOG(K202+([2]Values!$D$8*L202)+([2]Values!$D$9*M202)+(O202*[2]Values!D$10)+(P202*[2]Values!$D$11)+1)</f>
        <v>3.4606670175046123E-2</v>
      </c>
      <c r="O202" s="40">
        <v>9</v>
      </c>
      <c r="P202" s="40"/>
      <c r="Q202" s="41" t="s">
        <v>23</v>
      </c>
    </row>
    <row r="203" spans="1:17" ht="12.3">
      <c r="A203" s="37">
        <v>43699</v>
      </c>
      <c r="B203" s="36" t="s">
        <v>72</v>
      </c>
      <c r="C203" s="36" t="s">
        <v>779</v>
      </c>
      <c r="D203" s="38" t="s">
        <v>657</v>
      </c>
      <c r="E203" s="36" t="s">
        <v>19</v>
      </c>
      <c r="F203" s="36" t="s">
        <v>20</v>
      </c>
      <c r="G203" s="36">
        <v>9</v>
      </c>
      <c r="H203" s="36"/>
      <c r="I203" s="36" t="s">
        <v>780</v>
      </c>
      <c r="J203" s="36" t="s">
        <v>781</v>
      </c>
      <c r="K203" s="4">
        <v>0</v>
      </c>
      <c r="L203" s="5">
        <v>0</v>
      </c>
      <c r="M203" s="5">
        <v>0</v>
      </c>
      <c r="N203" s="39">
        <f>LOG(K203+([2]Values!$D$8*L203)+([2]Values!$D$9*M203)+(O203*[2]Values!D$10)+(P203*[2]Values!$D$11)+1)</f>
        <v>7.9321952534958575E-3</v>
      </c>
      <c r="O203" s="40">
        <v>2</v>
      </c>
      <c r="P203" s="40">
        <v>0</v>
      </c>
      <c r="Q203" s="41" t="s">
        <v>23</v>
      </c>
    </row>
    <row r="204" spans="1:17" ht="12.3">
      <c r="A204" s="37">
        <v>43700</v>
      </c>
      <c r="B204" s="36" t="s">
        <v>118</v>
      </c>
      <c r="C204" s="36" t="s">
        <v>782</v>
      </c>
      <c r="D204" s="38" t="s">
        <v>486</v>
      </c>
      <c r="E204" s="36" t="s">
        <v>19</v>
      </c>
      <c r="F204" s="36" t="s">
        <v>20</v>
      </c>
      <c r="G204" s="36"/>
      <c r="H204" s="36"/>
      <c r="I204" s="51" t="s">
        <v>783</v>
      </c>
      <c r="J204" s="51" t="s">
        <v>784</v>
      </c>
      <c r="K204" s="4">
        <v>0</v>
      </c>
      <c r="L204" s="43">
        <v>5</v>
      </c>
      <c r="M204" s="5">
        <v>0</v>
      </c>
      <c r="N204" s="39">
        <f>LOG(K204+([2]Values!$D$8*L204)+([2]Values!$D$9*M204)+(O204*[2]Values!D$10)+(P204*[2]Values!$D$11)+1)</f>
        <v>0.37279708473485546</v>
      </c>
      <c r="O204" s="42">
        <v>10</v>
      </c>
      <c r="P204" s="40">
        <v>0</v>
      </c>
      <c r="Q204" s="41" t="s">
        <v>23</v>
      </c>
    </row>
    <row r="205" spans="1:17" ht="12.3">
      <c r="A205" s="37">
        <v>43701</v>
      </c>
      <c r="B205" s="36" t="s">
        <v>346</v>
      </c>
      <c r="C205" s="36" t="s">
        <v>785</v>
      </c>
      <c r="D205" s="38" t="s">
        <v>282</v>
      </c>
      <c r="E205" s="36" t="s">
        <v>19</v>
      </c>
      <c r="F205" s="36" t="s">
        <v>20</v>
      </c>
      <c r="G205" s="36">
        <v>5</v>
      </c>
      <c r="H205" s="36"/>
      <c r="I205" s="51" t="s">
        <v>786</v>
      </c>
      <c r="J205" s="51" t="s">
        <v>787</v>
      </c>
      <c r="K205" s="4">
        <v>0</v>
      </c>
      <c r="L205" s="5">
        <v>0</v>
      </c>
      <c r="M205" s="5">
        <v>0</v>
      </c>
      <c r="N205" s="39">
        <f>LOG(K205+([2]Values!$D$8*L205)+([2]Values!$D$9*M205)+(O205*[2]Values!D$10)+(P205*[2]Values!$D$11)+1)</f>
        <v>7.9321952534958575E-3</v>
      </c>
      <c r="O205" s="40">
        <v>2</v>
      </c>
      <c r="P205" s="40">
        <v>0</v>
      </c>
      <c r="Q205" s="41" t="s">
        <v>23</v>
      </c>
    </row>
    <row r="206" spans="1:17" ht="12.3">
      <c r="A206" s="37">
        <v>43701</v>
      </c>
      <c r="B206" s="36" t="s">
        <v>143</v>
      </c>
      <c r="C206" s="36" t="s">
        <v>469</v>
      </c>
      <c r="D206" s="38" t="s">
        <v>788</v>
      </c>
      <c r="E206" s="36" t="s">
        <v>19</v>
      </c>
      <c r="F206" s="36" t="s">
        <v>789</v>
      </c>
      <c r="G206" s="36">
        <v>2</v>
      </c>
      <c r="H206" s="36" t="s">
        <v>790</v>
      </c>
      <c r="I206" s="51">
        <v>53787</v>
      </c>
      <c r="J206" s="51">
        <v>-2962</v>
      </c>
      <c r="K206" s="4">
        <v>0</v>
      </c>
      <c r="L206" s="5">
        <v>0</v>
      </c>
      <c r="M206" s="5">
        <v>0</v>
      </c>
      <c r="N206" s="39">
        <f>LOG(K206+([2]Values!$D$8*L206)+([2]Values!$D$9*M206)+(O206*[2]Values!D$10)+(P206*[2]Values!$D$11)+1)</f>
        <v>3.9842071266415419E-3</v>
      </c>
      <c r="O206" s="40">
        <v>1</v>
      </c>
      <c r="P206" s="40">
        <v>0</v>
      </c>
      <c r="Q206" s="41" t="s">
        <v>23</v>
      </c>
    </row>
    <row r="207" spans="1:17" ht="12.3">
      <c r="A207" s="37">
        <v>43703</v>
      </c>
      <c r="B207" s="36" t="s">
        <v>143</v>
      </c>
      <c r="C207" s="36" t="s">
        <v>469</v>
      </c>
      <c r="D207" s="38" t="s">
        <v>791</v>
      </c>
      <c r="E207" s="36" t="s">
        <v>19</v>
      </c>
      <c r="F207" s="36" t="s">
        <v>789</v>
      </c>
      <c r="G207" s="36">
        <v>2</v>
      </c>
      <c r="H207" s="36" t="s">
        <v>134</v>
      </c>
      <c r="I207" s="51">
        <v>53787</v>
      </c>
      <c r="J207" s="51">
        <v>-2963</v>
      </c>
      <c r="K207" s="4">
        <v>0</v>
      </c>
      <c r="L207" s="5">
        <v>0</v>
      </c>
      <c r="M207" s="5">
        <v>0</v>
      </c>
      <c r="N207" s="39">
        <f>LOG(K207+([2]Values!$D$8*L207)+([2]Values!$D$9*M207)+(O207*[2]Values!D$10)+(P207*[2]Values!$D$11)+1)</f>
        <v>7.3470426327456026E-2</v>
      </c>
      <c r="O207" s="40">
        <v>20</v>
      </c>
      <c r="P207" s="40">
        <v>0</v>
      </c>
      <c r="Q207" s="41" t="s">
        <v>23</v>
      </c>
    </row>
    <row r="208" spans="1:17" ht="12.3">
      <c r="A208" s="37">
        <v>43706</v>
      </c>
      <c r="B208" s="36" t="s">
        <v>67</v>
      </c>
      <c r="C208" s="36" t="s">
        <v>329</v>
      </c>
      <c r="D208" s="38" t="s">
        <v>278</v>
      </c>
      <c r="E208" s="36" t="s">
        <v>683</v>
      </c>
      <c r="F208" s="36" t="s">
        <v>69</v>
      </c>
      <c r="G208" s="36">
        <v>1</v>
      </c>
      <c r="H208" s="36"/>
      <c r="I208" s="36" t="s">
        <v>333</v>
      </c>
      <c r="J208" s="36" t="s">
        <v>792</v>
      </c>
      <c r="K208" s="4">
        <v>0</v>
      </c>
      <c r="L208" s="5">
        <v>1</v>
      </c>
      <c r="M208" s="5"/>
      <c r="N208" s="39">
        <f>LOG(K208+([2]Values!$D$8*L208)+([2]Values!$D$9*M208)+(O208*[2]Values!D$10)+(P208*[2]Values!$D$11)+1)</f>
        <v>9.8104502484878398E-2</v>
      </c>
      <c r="O208" s="40"/>
      <c r="P208" s="40">
        <v>0</v>
      </c>
      <c r="Q208" s="41" t="s">
        <v>23</v>
      </c>
    </row>
    <row r="209" spans="1:17" ht="12.3">
      <c r="A209" s="37">
        <v>43707</v>
      </c>
      <c r="B209" s="36" t="s">
        <v>793</v>
      </c>
      <c r="C209" s="36" t="s">
        <v>794</v>
      </c>
      <c r="D209" s="38" t="s">
        <v>336</v>
      </c>
      <c r="E209" s="36" t="s">
        <v>19</v>
      </c>
      <c r="F209" s="36" t="s">
        <v>20</v>
      </c>
      <c r="G209" s="36">
        <v>10</v>
      </c>
      <c r="H209" s="36" t="s">
        <v>35</v>
      </c>
      <c r="I209" s="51">
        <v>44634</v>
      </c>
      <c r="J209" s="51">
        <v>18537</v>
      </c>
      <c r="K209" s="4">
        <v>0</v>
      </c>
      <c r="L209" s="5">
        <v>0</v>
      </c>
      <c r="M209" s="5"/>
      <c r="N209" s="39">
        <f>LOG(K209+([2]Values!$D$8*L209)+([2]Values!$D$9*M209)+(O209*[2]Values!D$10)+(P209*[2]Values!$D$11)+1)</f>
        <v>3.8287005558778897E-2</v>
      </c>
      <c r="O209" s="42">
        <v>10</v>
      </c>
      <c r="P209" s="40"/>
      <c r="Q209" s="41" t="s">
        <v>23</v>
      </c>
    </row>
    <row r="210" spans="1:17" ht="12.3">
      <c r="A210" s="37">
        <v>43708</v>
      </c>
      <c r="B210" s="36" t="s">
        <v>226</v>
      </c>
      <c r="C210" s="36" t="s">
        <v>227</v>
      </c>
      <c r="D210" s="50" t="s">
        <v>304</v>
      </c>
      <c r="E210" s="36" t="s">
        <v>19</v>
      </c>
      <c r="F210" s="36" t="s">
        <v>20</v>
      </c>
      <c r="G210" s="36"/>
      <c r="H210" s="36"/>
      <c r="I210" s="36" t="s">
        <v>795</v>
      </c>
      <c r="J210" s="36" t="s">
        <v>796</v>
      </c>
      <c r="K210" s="4">
        <v>0</v>
      </c>
      <c r="L210" s="5">
        <v>3</v>
      </c>
      <c r="M210" s="5"/>
      <c r="N210" s="39">
        <f>LOG(K210+([2]Values!$D$8*L210)+([2]Values!$D$9*M210)+(O210*[2]Values!D$10)+(P210*[2]Values!$D$11)+1)</f>
        <v>0.4758383965026749</v>
      </c>
      <c r="O210" s="42">
        <v>100</v>
      </c>
      <c r="P210" s="42">
        <v>10</v>
      </c>
      <c r="Q210" s="41" t="s">
        <v>23</v>
      </c>
    </row>
    <row r="211" spans="1:17" ht="12.3">
      <c r="A211" s="44">
        <v>43715</v>
      </c>
      <c r="B211" s="45" t="s">
        <v>83</v>
      </c>
      <c r="C211" s="45" t="s">
        <v>150</v>
      </c>
      <c r="D211" s="46" t="s">
        <v>424</v>
      </c>
      <c r="E211" s="45" t="s">
        <v>19</v>
      </c>
      <c r="F211" s="45" t="s">
        <v>20</v>
      </c>
      <c r="G211" s="45">
        <v>10</v>
      </c>
      <c r="H211" s="45"/>
      <c r="I211" s="45" t="s">
        <v>797</v>
      </c>
      <c r="J211" s="45" t="s">
        <v>798</v>
      </c>
      <c r="K211" s="4">
        <v>1</v>
      </c>
      <c r="L211" s="47">
        <v>74</v>
      </c>
      <c r="M211" s="47">
        <v>2417</v>
      </c>
      <c r="N211" s="48">
        <f>LOG(K211+([2]Values!$D$8*L211)+([2]Values!$D$9*M211)+(O211*[2]Values!D$10)+(P211*[2]Values!$D$11)+1)</f>
        <v>2.0758956813230793</v>
      </c>
      <c r="O211" s="45">
        <v>4880</v>
      </c>
      <c r="P211" s="45">
        <v>293</v>
      </c>
      <c r="Q211" s="49" t="s">
        <v>23</v>
      </c>
    </row>
    <row r="212" spans="1:17" ht="12.3">
      <c r="A212" s="37">
        <v>43716</v>
      </c>
      <c r="B212" s="36" t="s">
        <v>24</v>
      </c>
      <c r="C212" s="36" t="s">
        <v>770</v>
      </c>
      <c r="D212" s="38"/>
      <c r="E212" s="36" t="s">
        <v>348</v>
      </c>
      <c r="F212" s="36" t="s">
        <v>412</v>
      </c>
      <c r="G212" s="36"/>
      <c r="H212" s="36"/>
      <c r="I212" s="36" t="s">
        <v>772</v>
      </c>
      <c r="J212" s="36" t="s">
        <v>773</v>
      </c>
      <c r="K212" s="4">
        <v>0</v>
      </c>
      <c r="L212" s="5">
        <v>0</v>
      </c>
      <c r="M212" s="5"/>
      <c r="N212" s="39">
        <f>LOG(K212+([2]Values!$D$8*L212)+([2]Values!$D$9*M212)+(O212*[2]Values!D$10)+(P212*[2]Values!$D$11)+1)</f>
        <v>7.3470426327456026E-2</v>
      </c>
      <c r="O212" s="40">
        <v>20</v>
      </c>
      <c r="P212" s="40"/>
      <c r="Q212" s="41" t="s">
        <v>23</v>
      </c>
    </row>
    <row r="213" spans="1:17" ht="12.3">
      <c r="A213" s="37">
        <v>43717</v>
      </c>
      <c r="B213" s="36" t="s">
        <v>262</v>
      </c>
      <c r="C213" s="36" t="s">
        <v>799</v>
      </c>
      <c r="D213" s="50" t="s">
        <v>304</v>
      </c>
      <c r="E213" s="36" t="s">
        <v>19</v>
      </c>
      <c r="F213" s="36" t="s">
        <v>20</v>
      </c>
      <c r="G213" s="36"/>
      <c r="H213" s="36"/>
      <c r="I213" s="36" t="s">
        <v>800</v>
      </c>
      <c r="J213" s="36" t="s">
        <v>801</v>
      </c>
      <c r="K213" s="4"/>
      <c r="L213" s="5">
        <v>2</v>
      </c>
      <c r="M213" s="5"/>
      <c r="N213" s="39">
        <f>LOG(K213+([2]Values!$D$8*L213)+([2]Values!$D$9*M213)+(O213*[2]Values!D$10)+(P213*[2]Values!$D$11)+1)</f>
        <v>0.29395773581442886</v>
      </c>
      <c r="O213" s="42">
        <v>50</v>
      </c>
      <c r="P213" s="40"/>
      <c r="Q213" s="41" t="s">
        <v>23</v>
      </c>
    </row>
    <row r="214" spans="1:17" ht="12.3">
      <c r="A214" s="37">
        <v>43717</v>
      </c>
      <c r="B214" s="36" t="s">
        <v>24</v>
      </c>
      <c r="C214" s="36" t="s">
        <v>802</v>
      </c>
      <c r="D214" s="38" t="s">
        <v>336</v>
      </c>
      <c r="E214" s="36" t="s">
        <v>19</v>
      </c>
      <c r="F214" s="36" t="s">
        <v>20</v>
      </c>
      <c r="G214" s="36"/>
      <c r="H214" s="36"/>
      <c r="I214" s="36">
        <v>33</v>
      </c>
      <c r="J214" s="36" t="s">
        <v>803</v>
      </c>
      <c r="K214" s="4">
        <v>0</v>
      </c>
      <c r="L214" s="5">
        <v>0</v>
      </c>
      <c r="M214" s="43"/>
      <c r="N214" s="39">
        <f>LOG(K214+([2]Values!$D$8*L214)+([2]Values!$D$9*M214)+(O214*[2]Values!D$10)+(P214*[2]Values!$D$11)+1)</f>
        <v>3.8287005558778897E-2</v>
      </c>
      <c r="O214" s="42">
        <v>10</v>
      </c>
      <c r="P214" s="40"/>
      <c r="Q214" s="41" t="s">
        <v>23</v>
      </c>
    </row>
    <row r="215" spans="1:17" ht="12.3">
      <c r="A215" s="37">
        <v>43717</v>
      </c>
      <c r="B215" s="36" t="s">
        <v>346</v>
      </c>
      <c r="C215" s="36" t="s">
        <v>347</v>
      </c>
      <c r="D215" s="50" t="s">
        <v>304</v>
      </c>
      <c r="E215" s="36" t="s">
        <v>19</v>
      </c>
      <c r="F215" s="36" t="s">
        <v>20</v>
      </c>
      <c r="G215" s="36">
        <v>6</v>
      </c>
      <c r="H215" s="36" t="s">
        <v>35</v>
      </c>
      <c r="I215" s="36" t="s">
        <v>804</v>
      </c>
      <c r="J215" s="36" t="s">
        <v>805</v>
      </c>
      <c r="K215" s="4">
        <v>0</v>
      </c>
      <c r="L215" s="5">
        <v>0</v>
      </c>
      <c r="M215" s="43">
        <v>10</v>
      </c>
      <c r="N215" s="39">
        <f>LOG(K215+([2]Values!$D$8*L215)+([2]Values!$D$9*M215)+(O215*[2]Values!D$10)+(P215*[2]Values!$D$11)+1)</f>
        <v>9.0844473435240908E-2</v>
      </c>
      <c r="O215" s="40">
        <v>2</v>
      </c>
      <c r="P215" s="40">
        <v>1</v>
      </c>
      <c r="Q215" s="41" t="s">
        <v>23</v>
      </c>
    </row>
    <row r="216" spans="1:17" ht="12.3">
      <c r="A216" s="37">
        <v>43718</v>
      </c>
      <c r="B216" s="36" t="s">
        <v>806</v>
      </c>
      <c r="C216" s="36" t="s">
        <v>807</v>
      </c>
      <c r="D216" s="38" t="s">
        <v>464</v>
      </c>
      <c r="E216" s="36" t="s">
        <v>19</v>
      </c>
      <c r="F216" s="36" t="s">
        <v>20</v>
      </c>
      <c r="G216" s="36"/>
      <c r="H216" s="36"/>
      <c r="I216" s="36" t="s">
        <v>808</v>
      </c>
      <c r="J216" s="36" t="s">
        <v>809</v>
      </c>
      <c r="K216" s="4">
        <v>0</v>
      </c>
      <c r="L216" s="5">
        <v>0</v>
      </c>
      <c r="M216" s="5">
        <v>0</v>
      </c>
      <c r="N216" s="39">
        <f>LOG(K216+([2]Values!$D$8*L216)+([2]Values!$D$9*M216)+(O216*[2]Values!D$10)+(P216*[2]Values!$D$11)+1)</f>
        <v>3.8287005558778897E-2</v>
      </c>
      <c r="O216" s="42">
        <v>10</v>
      </c>
      <c r="P216" s="40">
        <v>0</v>
      </c>
      <c r="Q216" s="41" t="s">
        <v>23</v>
      </c>
    </row>
    <row r="217" spans="1:17" ht="12.3">
      <c r="A217" s="37">
        <v>43721</v>
      </c>
      <c r="B217" s="36" t="s">
        <v>172</v>
      </c>
      <c r="C217" s="36" t="s">
        <v>810</v>
      </c>
      <c r="D217" s="38" t="s">
        <v>78</v>
      </c>
      <c r="E217" s="36" t="s">
        <v>19</v>
      </c>
      <c r="F217" s="36" t="s">
        <v>20</v>
      </c>
      <c r="G217" s="36"/>
      <c r="H217" s="36"/>
      <c r="I217" s="36" t="s">
        <v>811</v>
      </c>
      <c r="J217" s="36" t="s">
        <v>812</v>
      </c>
      <c r="K217" s="4">
        <v>0</v>
      </c>
      <c r="L217" s="5">
        <v>0</v>
      </c>
      <c r="M217" s="5">
        <v>0</v>
      </c>
      <c r="N217" s="39">
        <f>LOG(K217+([2]Values!$D$8*L217)+([2]Values!$D$9*M217)+(O217*[2]Values!D$10)+(P217*[2]Values!$D$11)+1)</f>
        <v>3.9842071266415419E-3</v>
      </c>
      <c r="O217" s="42">
        <v>1</v>
      </c>
      <c r="P217" s="40">
        <v>0</v>
      </c>
      <c r="Q217" s="41" t="s">
        <v>23</v>
      </c>
    </row>
    <row r="218" spans="1:17" ht="12.3">
      <c r="A218" s="37">
        <v>43721</v>
      </c>
      <c r="B218" s="36" t="s">
        <v>317</v>
      </c>
      <c r="C218" s="36" t="s">
        <v>813</v>
      </c>
      <c r="D218" s="38" t="s">
        <v>814</v>
      </c>
      <c r="E218" s="36" t="s">
        <v>19</v>
      </c>
      <c r="F218" s="36" t="s">
        <v>20</v>
      </c>
      <c r="G218" s="36"/>
      <c r="H218" s="36"/>
      <c r="I218" s="36" t="s">
        <v>815</v>
      </c>
      <c r="J218" s="36" t="s">
        <v>816</v>
      </c>
      <c r="K218" s="4">
        <v>0</v>
      </c>
      <c r="L218" s="5">
        <v>0</v>
      </c>
      <c r="M218" s="5">
        <v>0</v>
      </c>
      <c r="N218" s="39">
        <f>LOG(K218+([2]Values!$D$8*L218)+([2]Values!$D$9*M218)+(O218*[2]Values!D$10)+(P218*[2]Values!$D$11)+1)</f>
        <v>7.9321952534958575E-3</v>
      </c>
      <c r="O218" s="40">
        <v>2</v>
      </c>
      <c r="P218" s="40">
        <v>0</v>
      </c>
      <c r="Q218" s="41" t="s">
        <v>23</v>
      </c>
    </row>
    <row r="219" spans="1:17" ht="12.3">
      <c r="A219" s="37">
        <v>43722</v>
      </c>
      <c r="B219" s="36" t="s">
        <v>105</v>
      </c>
      <c r="C219" s="36" t="s">
        <v>817</v>
      </c>
      <c r="D219" s="38" t="s">
        <v>336</v>
      </c>
      <c r="E219" s="36" t="s">
        <v>19</v>
      </c>
      <c r="F219" s="36" t="s">
        <v>20</v>
      </c>
      <c r="G219" s="36">
        <v>5</v>
      </c>
      <c r="H219" s="36"/>
      <c r="I219" s="36" t="s">
        <v>818</v>
      </c>
      <c r="J219" s="36" t="s">
        <v>290</v>
      </c>
      <c r="K219" s="4">
        <v>0</v>
      </c>
      <c r="L219" s="5">
        <v>0</v>
      </c>
      <c r="M219" s="5">
        <v>0</v>
      </c>
      <c r="N219" s="39">
        <f>LOG(K219+([2]Values!$D$8*L219)+([2]Values!$D$9*M219)+(O219*[2]Values!D$10)+(P219*[2]Values!$D$11)+1)</f>
        <v>0.29059972627051694</v>
      </c>
      <c r="O219" s="42">
        <v>100</v>
      </c>
      <c r="P219" s="40">
        <v>1</v>
      </c>
      <c r="Q219" s="41" t="s">
        <v>23</v>
      </c>
    </row>
    <row r="220" spans="1:17" ht="12.3">
      <c r="A220" s="37">
        <v>43722</v>
      </c>
      <c r="B220" s="36" t="s">
        <v>17</v>
      </c>
      <c r="C220" s="36" t="s">
        <v>145</v>
      </c>
      <c r="D220" s="38" t="s">
        <v>297</v>
      </c>
      <c r="E220" s="36" t="s">
        <v>19</v>
      </c>
      <c r="F220" s="36" t="s">
        <v>20</v>
      </c>
      <c r="G220" s="36"/>
      <c r="H220" s="36"/>
      <c r="I220" s="36" t="s">
        <v>819</v>
      </c>
      <c r="J220" s="36" t="s">
        <v>820</v>
      </c>
      <c r="K220" s="4">
        <v>0</v>
      </c>
      <c r="L220" s="5">
        <v>0</v>
      </c>
      <c r="M220" s="5">
        <v>0</v>
      </c>
      <c r="N220" s="39">
        <f>LOG(K220+([2]Values!$D$8*L220)+([2]Values!$D$9*M220)+(O220*[2]Values!D$10)+(P220*[2]Values!$D$11)+1)</f>
        <v>0.30401211856363519</v>
      </c>
      <c r="O220" s="40">
        <v>110</v>
      </c>
      <c r="P220" s="40">
        <v>0</v>
      </c>
      <c r="Q220" s="41" t="s">
        <v>23</v>
      </c>
    </row>
    <row r="221" spans="1:17" ht="12.3">
      <c r="A221" s="37">
        <v>43724</v>
      </c>
      <c r="B221" s="36" t="s">
        <v>83</v>
      </c>
      <c r="C221" s="36" t="s">
        <v>821</v>
      </c>
      <c r="D221" s="38" t="s">
        <v>78</v>
      </c>
      <c r="E221" s="36" t="s">
        <v>19</v>
      </c>
      <c r="F221" s="36" t="s">
        <v>20</v>
      </c>
      <c r="G221" s="36">
        <v>11</v>
      </c>
      <c r="H221" s="36"/>
      <c r="I221" s="36" t="s">
        <v>822</v>
      </c>
      <c r="J221" s="36" t="s">
        <v>823</v>
      </c>
      <c r="K221" s="4">
        <v>0</v>
      </c>
      <c r="L221" s="5"/>
      <c r="M221" s="5"/>
      <c r="N221" s="39">
        <f>LOG(K221+([2]Values!$D$8*L221)+([2]Values!$D$9*M221)+(O221*[2]Values!D$10)+(P221*[2]Values!$D$11)+1)</f>
        <v>3.8287005558778897E-2</v>
      </c>
      <c r="O221" s="42">
        <v>10</v>
      </c>
      <c r="P221" s="40"/>
      <c r="Q221" s="41" t="s">
        <v>23</v>
      </c>
    </row>
    <row r="222" spans="1:17" ht="12.3">
      <c r="A222" s="37">
        <v>43724</v>
      </c>
      <c r="B222" s="36" t="s">
        <v>24</v>
      </c>
      <c r="C222" s="36" t="s">
        <v>770</v>
      </c>
      <c r="D222" s="38"/>
      <c r="E222" s="36" t="s">
        <v>348</v>
      </c>
      <c r="F222" s="36" t="s">
        <v>412</v>
      </c>
      <c r="G222" s="36"/>
      <c r="H222" s="36"/>
      <c r="I222" s="36" t="s">
        <v>772</v>
      </c>
      <c r="J222" s="36" t="s">
        <v>773</v>
      </c>
      <c r="K222" s="4">
        <v>0</v>
      </c>
      <c r="L222" s="5">
        <v>0</v>
      </c>
      <c r="M222" s="43">
        <v>100</v>
      </c>
      <c r="N222" s="39">
        <f>LOG(K222+([2]Values!$D$8*L222)+([2]Values!$D$9*M222)+(O222*[2]Values!D$10)+(P222*[2]Values!$D$11)+1)</f>
        <v>0.4569768621917118</v>
      </c>
      <c r="O222" s="42"/>
      <c r="P222" s="40">
        <v>1</v>
      </c>
      <c r="Q222" s="41" t="s">
        <v>23</v>
      </c>
    </row>
    <row r="223" spans="1:17" ht="12.3">
      <c r="A223" s="37">
        <v>43724</v>
      </c>
      <c r="B223" s="36" t="s">
        <v>17</v>
      </c>
      <c r="C223" s="36" t="s">
        <v>169</v>
      </c>
      <c r="D223" s="38" t="s">
        <v>464</v>
      </c>
      <c r="E223" s="36" t="s">
        <v>19</v>
      </c>
      <c r="F223" s="36" t="s">
        <v>20</v>
      </c>
      <c r="G223" s="36"/>
      <c r="H223" s="36"/>
      <c r="I223" s="36" t="s">
        <v>824</v>
      </c>
      <c r="J223" s="36" t="s">
        <v>825</v>
      </c>
      <c r="K223" s="4">
        <v>0</v>
      </c>
      <c r="L223" s="5">
        <v>1</v>
      </c>
      <c r="M223" s="5">
        <v>0</v>
      </c>
      <c r="N223" s="39">
        <f>LOG(K223+([2]Values!$D$8*L223)+([2]Values!$D$9*M223)+(O223*[2]Values!D$10)+(P223*[2]Values!$D$11)+1)</f>
        <v>0.11378419717092424</v>
      </c>
      <c r="O223" s="42">
        <v>5</v>
      </c>
      <c r="P223" s="40">
        <v>0</v>
      </c>
      <c r="Q223" s="41" t="s">
        <v>23</v>
      </c>
    </row>
    <row r="224" spans="1:17" ht="12.3">
      <c r="A224" s="37">
        <v>43725</v>
      </c>
      <c r="B224" s="36" t="s">
        <v>17</v>
      </c>
      <c r="C224" s="36" t="s">
        <v>826</v>
      </c>
      <c r="D224" s="38" t="s">
        <v>827</v>
      </c>
      <c r="E224" s="36" t="s">
        <v>19</v>
      </c>
      <c r="F224" s="36" t="s">
        <v>20</v>
      </c>
      <c r="G224" s="36">
        <v>10</v>
      </c>
      <c r="H224" s="36"/>
      <c r="I224" s="51">
        <v>35418</v>
      </c>
      <c r="J224" s="36" t="s">
        <v>828</v>
      </c>
      <c r="K224" s="4">
        <v>0</v>
      </c>
      <c r="L224" s="5">
        <v>2</v>
      </c>
      <c r="M224" s="5"/>
      <c r="N224" s="39">
        <f>LOG(K224+([2]Values!$D$8*L224)+([2]Values!$D$9*M224)+(O224*[2]Values!D$10)+(P224*[2]Values!$D$11)+1)</f>
        <v>0.17808025355706064</v>
      </c>
      <c r="O224" s="40"/>
      <c r="P224" s="40"/>
      <c r="Q224" s="41" t="s">
        <v>23</v>
      </c>
    </row>
    <row r="225" spans="1:17" ht="12.3">
      <c r="A225" s="37">
        <v>43727</v>
      </c>
      <c r="B225" s="36" t="s">
        <v>44</v>
      </c>
      <c r="C225" s="36" t="s">
        <v>706</v>
      </c>
      <c r="D225" s="50" t="s">
        <v>829</v>
      </c>
      <c r="E225" s="36" t="s">
        <v>19</v>
      </c>
      <c r="F225" s="36" t="s">
        <v>20</v>
      </c>
      <c r="G225" s="36">
        <v>626</v>
      </c>
      <c r="H225" s="36" t="s">
        <v>684</v>
      </c>
      <c r="I225" s="36" t="s">
        <v>830</v>
      </c>
      <c r="J225" s="36" t="s">
        <v>831</v>
      </c>
      <c r="K225" s="4">
        <v>0</v>
      </c>
      <c r="L225" s="5">
        <v>0</v>
      </c>
      <c r="M225" s="5">
        <v>0</v>
      </c>
      <c r="N225" s="39">
        <f>LOG(K225+([2]Values!$D$8*L225)+([2]Values!$D$9*M225)+(O225*[2]Values!D$10)+(P225*[2]Values!$D$11)+1)</f>
        <v>7.9321952534958575E-3</v>
      </c>
      <c r="O225" s="40">
        <v>2</v>
      </c>
      <c r="P225" s="40">
        <v>0</v>
      </c>
      <c r="Q225" s="41" t="s">
        <v>23</v>
      </c>
    </row>
    <row r="226" spans="1:17" ht="12.3">
      <c r="A226" s="37">
        <v>43729</v>
      </c>
      <c r="B226" s="36" t="s">
        <v>292</v>
      </c>
      <c r="C226" s="36" t="s">
        <v>832</v>
      </c>
      <c r="D226" s="50" t="s">
        <v>833</v>
      </c>
      <c r="E226" s="36" t="s">
        <v>19</v>
      </c>
      <c r="F226" s="36" t="s">
        <v>20</v>
      </c>
      <c r="G226" s="36">
        <v>18</v>
      </c>
      <c r="H226" s="36" t="s">
        <v>123</v>
      </c>
      <c r="I226" s="36" t="s">
        <v>834</v>
      </c>
      <c r="J226" s="36" t="s">
        <v>835</v>
      </c>
      <c r="K226" s="4">
        <v>0</v>
      </c>
      <c r="L226" s="5">
        <v>132</v>
      </c>
      <c r="M226" s="5"/>
      <c r="N226" s="39">
        <f>LOG(K226+([2]Values!$D$8*L226)+([2]Values!$D$9*M226)+(O226*[2]Values!D$10)+(P226*[2]Values!$D$11)+1)</f>
        <v>1.6933834011070164</v>
      </c>
      <c r="O226" s="40">
        <v>1500</v>
      </c>
      <c r="P226" s="40">
        <v>35</v>
      </c>
      <c r="Q226" s="41" t="s">
        <v>23</v>
      </c>
    </row>
    <row r="227" spans="1:17" ht="12.3">
      <c r="A227" s="37">
        <v>43732</v>
      </c>
      <c r="B227" s="36" t="s">
        <v>39</v>
      </c>
      <c r="C227" s="36" t="s">
        <v>40</v>
      </c>
      <c r="D227" s="38" t="s">
        <v>525</v>
      </c>
      <c r="E227" s="36" t="s">
        <v>19</v>
      </c>
      <c r="F227" s="36" t="s">
        <v>20</v>
      </c>
      <c r="G227" s="36">
        <v>10</v>
      </c>
      <c r="H227" s="36" t="s">
        <v>134</v>
      </c>
      <c r="I227" s="51">
        <v>19077</v>
      </c>
      <c r="J227" s="51">
        <v>-67270</v>
      </c>
      <c r="K227" s="4">
        <v>0</v>
      </c>
      <c r="L227" s="5">
        <v>0</v>
      </c>
      <c r="M227" s="5">
        <v>0</v>
      </c>
      <c r="N227" s="39">
        <f>LOG(K227+([2]Values!$D$8*L227)+([2]Values!$D$9*M227)+(O227*[2]Values!D$10)+(P227*[2]Values!$D$11)+1)</f>
        <v>3.8287005558778897E-2</v>
      </c>
      <c r="O227" s="42">
        <v>10</v>
      </c>
      <c r="P227" s="40">
        <v>0</v>
      </c>
      <c r="Q227" s="41" t="s">
        <v>23</v>
      </c>
    </row>
    <row r="228" spans="1:17" ht="12.3">
      <c r="A228" s="37">
        <v>43732</v>
      </c>
      <c r="B228" s="36" t="s">
        <v>105</v>
      </c>
      <c r="C228" s="36" t="s">
        <v>836</v>
      </c>
      <c r="D228" s="38" t="s">
        <v>837</v>
      </c>
      <c r="E228" s="36" t="s">
        <v>19</v>
      </c>
      <c r="F228" s="36" t="s">
        <v>20</v>
      </c>
      <c r="G228" s="36">
        <v>5</v>
      </c>
      <c r="H228" s="36" t="s">
        <v>134</v>
      </c>
      <c r="I228" s="51" t="s">
        <v>838</v>
      </c>
      <c r="J228" s="51" t="s">
        <v>839</v>
      </c>
      <c r="K228" s="4">
        <v>0</v>
      </c>
      <c r="L228" s="5">
        <v>0</v>
      </c>
      <c r="M228" s="5">
        <v>0</v>
      </c>
      <c r="N228" s="39">
        <f>LOG(K228+([2]Values!$D$8*L228)+([2]Values!$D$9*M228)+(O228*[2]Values!D$10)+(P228*[2]Values!$D$11)+1)</f>
        <v>3.9842071266415419E-3</v>
      </c>
      <c r="O228" s="40">
        <v>1</v>
      </c>
      <c r="P228" s="40">
        <v>0</v>
      </c>
      <c r="Q228" s="41" t="s">
        <v>23</v>
      </c>
    </row>
    <row r="229" spans="1:17" ht="12.3">
      <c r="A229" s="37">
        <v>43732</v>
      </c>
      <c r="B229" s="36" t="s">
        <v>17</v>
      </c>
      <c r="C229" s="36" t="s">
        <v>425</v>
      </c>
      <c r="D229" s="38" t="s">
        <v>840</v>
      </c>
      <c r="E229" s="36" t="s">
        <v>19</v>
      </c>
      <c r="F229" s="36" t="s">
        <v>20</v>
      </c>
      <c r="G229" s="36">
        <v>12</v>
      </c>
      <c r="H229" s="36" t="s">
        <v>35</v>
      </c>
      <c r="I229" s="36" t="s">
        <v>841</v>
      </c>
      <c r="J229" s="36" t="s">
        <v>842</v>
      </c>
      <c r="K229" s="4">
        <v>0</v>
      </c>
      <c r="L229" s="5">
        <v>5</v>
      </c>
      <c r="M229" s="5">
        <v>0</v>
      </c>
      <c r="N229" s="39">
        <f>LOG(K229+([2]Values!$D$8*L229)+([2]Values!$D$9*M229)+(O229*[2]Values!D$10)+(P229*[2]Values!$D$11)+1)</f>
        <v>0.38119751380738814</v>
      </c>
      <c r="O229" s="42">
        <v>15</v>
      </c>
      <c r="P229" s="40">
        <v>0</v>
      </c>
      <c r="Q229" s="41" t="s">
        <v>23</v>
      </c>
    </row>
    <row r="230" spans="1:17" ht="12.3">
      <c r="A230" s="44">
        <v>43732</v>
      </c>
      <c r="B230" s="45" t="s">
        <v>216</v>
      </c>
      <c r="C230" s="45" t="s">
        <v>843</v>
      </c>
      <c r="D230" s="46" t="s">
        <v>844</v>
      </c>
      <c r="E230" s="45" t="s">
        <v>19</v>
      </c>
      <c r="F230" s="45" t="s">
        <v>20</v>
      </c>
      <c r="G230" s="45">
        <v>8</v>
      </c>
      <c r="H230" s="45" t="s">
        <v>363</v>
      </c>
      <c r="I230" s="45" t="s">
        <v>845</v>
      </c>
      <c r="J230" s="45" t="s">
        <v>846</v>
      </c>
      <c r="K230" s="4">
        <v>39</v>
      </c>
      <c r="L230" s="47">
        <v>746</v>
      </c>
      <c r="M230" s="61">
        <v>10000</v>
      </c>
      <c r="N230" s="48">
        <f>LOG(K230+([2]Values!$D$8*L230)+([2]Values!$D$9*M230)+(O230*[2]Values!D$10)+(P230*[2]Values!$D$11)+1)</f>
        <v>2.7166585769096816</v>
      </c>
      <c r="O230" s="45">
        <v>5841</v>
      </c>
      <c r="P230" s="45">
        <v>1765</v>
      </c>
      <c r="Q230" s="49" t="s">
        <v>23</v>
      </c>
    </row>
    <row r="231" spans="1:17" ht="12.3">
      <c r="A231" s="44">
        <v>43734</v>
      </c>
      <c r="B231" s="45" t="s">
        <v>44</v>
      </c>
      <c r="C231" s="45" t="s">
        <v>423</v>
      </c>
      <c r="D231" s="46" t="s">
        <v>847</v>
      </c>
      <c r="E231" s="45" t="s">
        <v>19</v>
      </c>
      <c r="F231" s="45" t="s">
        <v>20</v>
      </c>
      <c r="G231" s="45">
        <v>10</v>
      </c>
      <c r="H231" s="45" t="s">
        <v>123</v>
      </c>
      <c r="I231" s="45" t="s">
        <v>848</v>
      </c>
      <c r="J231" s="45" t="s">
        <v>849</v>
      </c>
      <c r="K231" s="4">
        <v>41</v>
      </c>
      <c r="L231" s="47">
        <v>1578</v>
      </c>
      <c r="M231" s="47">
        <v>103301</v>
      </c>
      <c r="N231" s="48">
        <f>LOG(K231+([2]Values!$D$8*L231)+([2]Values!$D$9*M231)+(O231*[2]Values!D$10)+(P231*[2]Values!$D$11)+1)</f>
        <v>3.4001916282849614</v>
      </c>
      <c r="O231" s="45">
        <v>10155</v>
      </c>
      <c r="P231" s="45">
        <v>2712</v>
      </c>
      <c r="Q231" s="49" t="s">
        <v>23</v>
      </c>
    </row>
    <row r="232" spans="1:17" ht="12.3">
      <c r="A232" s="37">
        <v>43734</v>
      </c>
      <c r="B232" s="36" t="s">
        <v>378</v>
      </c>
      <c r="C232" s="36" t="s">
        <v>850</v>
      </c>
      <c r="D232" s="38" t="s">
        <v>851</v>
      </c>
      <c r="E232" s="36" t="s">
        <v>19</v>
      </c>
      <c r="F232" s="36" t="s">
        <v>20</v>
      </c>
      <c r="G232" s="36"/>
      <c r="H232" s="36"/>
      <c r="I232" s="36" t="s">
        <v>852</v>
      </c>
      <c r="J232" s="36" t="s">
        <v>853</v>
      </c>
      <c r="K232" s="4">
        <v>0</v>
      </c>
      <c r="L232" s="5">
        <v>0</v>
      </c>
      <c r="M232" s="5">
        <v>0</v>
      </c>
      <c r="N232" s="39">
        <f>LOG(K232+([2]Values!$D$8*L232)+([2]Values!$D$9*M232)+(O232*[2]Values!D$10)+(P232*[2]Values!$D$11)+1)</f>
        <v>3.9842071266415419E-3</v>
      </c>
      <c r="O232" s="40">
        <v>1</v>
      </c>
      <c r="P232" s="40">
        <v>0</v>
      </c>
      <c r="Q232" s="41" t="s">
        <v>23</v>
      </c>
    </row>
    <row r="233" spans="1:17" ht="12.3">
      <c r="A233" s="37">
        <v>43734</v>
      </c>
      <c r="B233" s="36" t="s">
        <v>216</v>
      </c>
      <c r="C233" s="36" t="s">
        <v>843</v>
      </c>
      <c r="D233" s="38" t="s">
        <v>840</v>
      </c>
      <c r="E233" s="36" t="s">
        <v>206</v>
      </c>
      <c r="F233" s="36" t="s">
        <v>20</v>
      </c>
      <c r="G233" s="36">
        <v>6</v>
      </c>
      <c r="H233" s="36"/>
      <c r="I233" s="36" t="s">
        <v>854</v>
      </c>
      <c r="J233" s="36" t="s">
        <v>855</v>
      </c>
      <c r="K233" s="4">
        <v>0</v>
      </c>
      <c r="L233" s="5">
        <v>92</v>
      </c>
      <c r="M233" s="5">
        <v>0</v>
      </c>
      <c r="N233" s="39">
        <f>LOG(K233+([2]Values!$D$8*L233)+([2]Values!$D$9*M233)+(O233*[2]Values!D$10)+(P233*[2]Values!$D$11)+1)</f>
        <v>1.3859052252341184</v>
      </c>
      <c r="O233" s="40"/>
      <c r="P233" s="40"/>
      <c r="Q233" s="41" t="s">
        <v>23</v>
      </c>
    </row>
    <row r="234" spans="1:17" ht="12.3">
      <c r="A234" s="44">
        <v>43734</v>
      </c>
      <c r="B234" s="45" t="s">
        <v>105</v>
      </c>
      <c r="C234" s="45" t="s">
        <v>836</v>
      </c>
      <c r="D234" s="46" t="s">
        <v>856</v>
      </c>
      <c r="E234" s="45" t="s">
        <v>107</v>
      </c>
      <c r="F234" s="45" t="s">
        <v>20</v>
      </c>
      <c r="G234" s="45">
        <v>11</v>
      </c>
      <c r="H234" s="45" t="s">
        <v>35</v>
      </c>
      <c r="I234" s="45" t="s">
        <v>762</v>
      </c>
      <c r="J234" s="45" t="s">
        <v>839</v>
      </c>
      <c r="K234" s="4">
        <v>2</v>
      </c>
      <c r="L234" s="47">
        <v>47</v>
      </c>
      <c r="M234" s="47"/>
      <c r="N234" s="48">
        <f>LOG(K234+([2]Values!$D$8*L234)+([2]Values!$D$9*M234)+(O234*[2]Values!D$10)+(P234*[2]Values!$D$11)+1)</f>
        <v>2.0296826786562892</v>
      </c>
      <c r="O234" s="45">
        <v>10000</v>
      </c>
      <c r="P234" s="45"/>
      <c r="Q234" s="49" t="s">
        <v>23</v>
      </c>
    </row>
    <row r="235" spans="1:17" ht="12.3">
      <c r="A235" s="44">
        <v>43734</v>
      </c>
      <c r="B235" s="45" t="s">
        <v>359</v>
      </c>
      <c r="C235" s="45" t="s">
        <v>857</v>
      </c>
      <c r="D235" s="46" t="s">
        <v>408</v>
      </c>
      <c r="E235" s="45" t="s">
        <v>19</v>
      </c>
      <c r="F235" s="45" t="s">
        <v>20</v>
      </c>
      <c r="G235" s="45">
        <v>128</v>
      </c>
      <c r="H235" s="45"/>
      <c r="I235" s="45" t="s">
        <v>858</v>
      </c>
      <c r="J235" s="45" t="s">
        <v>859</v>
      </c>
      <c r="K235" s="4">
        <v>1</v>
      </c>
      <c r="L235" s="47">
        <v>0</v>
      </c>
      <c r="M235" s="47">
        <v>0</v>
      </c>
      <c r="N235" s="48">
        <f>LOG(K235+([2]Values!$D$8*L235)+([2]Values!$D$9*M235)+(O235*[2]Values!D$10)+(P235*[2]Values!$D$11)+1)</f>
        <v>0.3010299956639812</v>
      </c>
      <c r="O235" s="45">
        <v>0</v>
      </c>
      <c r="P235" s="45">
        <v>0</v>
      </c>
      <c r="Q235" s="49" t="s">
        <v>23</v>
      </c>
    </row>
    <row r="236" spans="1:17" ht="12.3">
      <c r="A236" s="37">
        <v>43737</v>
      </c>
      <c r="B236" s="36" t="s">
        <v>62</v>
      </c>
      <c r="C236" s="36" t="s">
        <v>860</v>
      </c>
      <c r="D236" s="38" t="s">
        <v>861</v>
      </c>
      <c r="E236" s="36" t="s">
        <v>19</v>
      </c>
      <c r="F236" s="36" t="s">
        <v>20</v>
      </c>
      <c r="G236" s="36">
        <v>68</v>
      </c>
      <c r="H236" s="36"/>
      <c r="I236" s="36" t="s">
        <v>440</v>
      </c>
      <c r="J236" s="36" t="s">
        <v>862</v>
      </c>
      <c r="K236" s="4">
        <v>0</v>
      </c>
      <c r="L236" s="5">
        <v>0</v>
      </c>
      <c r="M236" s="5">
        <v>0</v>
      </c>
      <c r="N236" s="39">
        <f>LOG(K236+([2]Values!$D$8*L236)+([2]Values!$D$9*M236)+(O236*[2]Values!D$10)+(P236*[2]Values!$D$11)+1)</f>
        <v>3.9842071266415419E-3</v>
      </c>
      <c r="O236" s="40">
        <v>1</v>
      </c>
      <c r="P236" s="40"/>
      <c r="Q236" s="41" t="s">
        <v>23</v>
      </c>
    </row>
    <row r="237" spans="1:17" ht="12.3">
      <c r="A237" s="44">
        <v>43737</v>
      </c>
      <c r="B237" s="45" t="s">
        <v>359</v>
      </c>
      <c r="C237" s="45" t="s">
        <v>863</v>
      </c>
      <c r="D237" s="46" t="s">
        <v>864</v>
      </c>
      <c r="E237" s="45" t="s">
        <v>19</v>
      </c>
      <c r="F237" s="45" t="s">
        <v>20</v>
      </c>
      <c r="G237" s="45">
        <v>24</v>
      </c>
      <c r="H237" s="45"/>
      <c r="I237" s="45" t="s">
        <v>865</v>
      </c>
      <c r="J237" s="45" t="s">
        <v>866</v>
      </c>
      <c r="K237" s="4">
        <v>1</v>
      </c>
      <c r="L237" s="47">
        <v>0</v>
      </c>
      <c r="M237" s="47">
        <v>0</v>
      </c>
      <c r="N237" s="48">
        <f>LOG(K237+([2]Values!$D$8*L237)+([2]Values!$D$9*M237)+(O237*[2]Values!D$10)+(P237*[2]Values!$D$11)+1)</f>
        <v>0.3010299956639812</v>
      </c>
      <c r="O237" s="45"/>
      <c r="P237" s="45"/>
      <c r="Q237" s="49" t="s">
        <v>23</v>
      </c>
    </row>
    <row r="238" spans="1:17" ht="12.3">
      <c r="A238" s="37">
        <v>43739</v>
      </c>
      <c r="B238" s="36" t="s">
        <v>636</v>
      </c>
      <c r="C238" s="36" t="s">
        <v>867</v>
      </c>
      <c r="D238" s="38" t="s">
        <v>868</v>
      </c>
      <c r="E238" s="36" t="s">
        <v>19</v>
      </c>
      <c r="F238" s="36" t="s">
        <v>20</v>
      </c>
      <c r="G238" s="36">
        <v>27</v>
      </c>
      <c r="H238" s="36"/>
      <c r="I238" s="36" t="s">
        <v>869</v>
      </c>
      <c r="J238" s="36" t="s">
        <v>870</v>
      </c>
      <c r="K238" s="4">
        <v>0</v>
      </c>
      <c r="L238" s="5">
        <v>0</v>
      </c>
      <c r="M238" s="5">
        <v>0</v>
      </c>
      <c r="N238" s="39">
        <f>LOG(K238+([2]Values!$D$8*L238)+([2]Values!$D$9*M238)+(O238*[2]Values!D$10)+(P238*[2]Values!$D$11)+1)</f>
        <v>2.3374750854863541E-2</v>
      </c>
      <c r="O238" s="40">
        <v>6</v>
      </c>
      <c r="P238" s="40">
        <v>0</v>
      </c>
      <c r="Q238" s="41" t="s">
        <v>23</v>
      </c>
    </row>
    <row r="239" spans="1:17" ht="12.3">
      <c r="A239" s="37">
        <v>43740</v>
      </c>
      <c r="B239" s="36" t="s">
        <v>83</v>
      </c>
      <c r="C239" s="36" t="s">
        <v>871</v>
      </c>
      <c r="D239" s="38" t="s">
        <v>872</v>
      </c>
      <c r="E239" s="36" t="s">
        <v>19</v>
      </c>
      <c r="F239" s="36" t="s">
        <v>20</v>
      </c>
      <c r="G239" s="36">
        <v>10</v>
      </c>
      <c r="H239" s="36"/>
      <c r="I239" s="67">
        <v>43583</v>
      </c>
      <c r="J239" s="36" t="s">
        <v>873</v>
      </c>
      <c r="K239" s="4">
        <v>0</v>
      </c>
      <c r="L239" s="5">
        <v>0</v>
      </c>
      <c r="M239" s="5"/>
      <c r="N239" s="39">
        <f>LOG(K239+([2]Values!$D$8*L239)+([2]Values!$D$9*M239)+(O239*[2]Values!D$10)+(P239*[2]Values!$D$11)+1)</f>
        <v>1.8626456033540442</v>
      </c>
      <c r="O239" s="40">
        <v>7800</v>
      </c>
      <c r="P239" s="40"/>
      <c r="Q239" s="41" t="s">
        <v>23</v>
      </c>
    </row>
    <row r="240" spans="1:17" ht="12.3">
      <c r="A240" s="44">
        <v>43741</v>
      </c>
      <c r="B240" s="45" t="s">
        <v>67</v>
      </c>
      <c r="C240" s="45" t="s">
        <v>68</v>
      </c>
      <c r="D240" s="46" t="s">
        <v>874</v>
      </c>
      <c r="E240" s="45" t="s">
        <v>683</v>
      </c>
      <c r="F240" s="45" t="s">
        <v>69</v>
      </c>
      <c r="G240" s="45">
        <v>1</v>
      </c>
      <c r="H240" s="45"/>
      <c r="I240" s="45" t="s">
        <v>875</v>
      </c>
      <c r="J240" s="60">
        <v>43695</v>
      </c>
      <c r="K240" s="4">
        <v>1</v>
      </c>
      <c r="L240" s="47">
        <v>8</v>
      </c>
      <c r="M240" s="47">
        <v>0</v>
      </c>
      <c r="N240" s="48">
        <f>LOG(K240+([2]Values!$D$8*L240)+([2]Values!$D$9*M240)+(O240*[2]Values!D$10)+(P240*[2]Values!$D$11)+1)</f>
        <v>0.60504007750643063</v>
      </c>
      <c r="O240" s="45"/>
      <c r="P240" s="45">
        <v>0</v>
      </c>
      <c r="Q240" s="49" t="s">
        <v>23</v>
      </c>
    </row>
    <row r="241" spans="1:17" ht="12.3">
      <c r="A241" s="37">
        <v>43741</v>
      </c>
      <c r="B241" s="36" t="s">
        <v>156</v>
      </c>
      <c r="C241" s="36" t="s">
        <v>876</v>
      </c>
      <c r="D241" s="38" t="s">
        <v>877</v>
      </c>
      <c r="E241" s="36" t="s">
        <v>19</v>
      </c>
      <c r="F241" s="36" t="s">
        <v>20</v>
      </c>
      <c r="G241" s="36">
        <v>20</v>
      </c>
      <c r="H241" s="36"/>
      <c r="I241" s="36" t="s">
        <v>878</v>
      </c>
      <c r="J241" s="36" t="s">
        <v>879</v>
      </c>
      <c r="K241" s="4">
        <v>0</v>
      </c>
      <c r="L241" s="5">
        <v>0</v>
      </c>
      <c r="M241" s="5">
        <v>0</v>
      </c>
      <c r="N241" s="39">
        <f>LOG(K241+([2]Values!$D$8*L241)+([2]Values!$D$9*M241)+(O241*[2]Values!D$10)+(P241*[2]Values!$D$11)+1)</f>
        <v>3.9842071266415419E-3</v>
      </c>
      <c r="O241" s="40">
        <v>1</v>
      </c>
      <c r="P241" s="40">
        <v>0</v>
      </c>
      <c r="Q241" s="41" t="s">
        <v>23</v>
      </c>
    </row>
    <row r="242" spans="1:17" ht="12.3">
      <c r="A242" s="37">
        <v>43741</v>
      </c>
      <c r="B242" s="36" t="s">
        <v>17</v>
      </c>
      <c r="C242" s="36" t="s">
        <v>129</v>
      </c>
      <c r="D242" s="38" t="s">
        <v>880</v>
      </c>
      <c r="E242" s="36" t="s">
        <v>19</v>
      </c>
      <c r="F242" s="36" t="s">
        <v>20</v>
      </c>
      <c r="G242" s="36">
        <v>10</v>
      </c>
      <c r="H242" s="36"/>
      <c r="I242" s="36" t="s">
        <v>881</v>
      </c>
      <c r="J242" s="36" t="s">
        <v>882</v>
      </c>
      <c r="K242" s="4">
        <v>0</v>
      </c>
      <c r="L242" s="5">
        <v>0</v>
      </c>
      <c r="M242" s="5">
        <v>0</v>
      </c>
      <c r="N242" s="39">
        <f>LOG(K242+([2]Values!$D$8*L242)+([2]Values!$D$9*M242)+(O242*[2]Values!D$10)+(P242*[2]Values!$D$11)+1)</f>
        <v>3.8287005558778897E-2</v>
      </c>
      <c r="O242" s="42">
        <v>10</v>
      </c>
      <c r="P242" s="40">
        <v>0</v>
      </c>
      <c r="Q242" s="41" t="s">
        <v>23</v>
      </c>
    </row>
    <row r="243" spans="1:17" ht="12.3">
      <c r="A243" s="37">
        <v>43741</v>
      </c>
      <c r="B243" s="36" t="s">
        <v>24</v>
      </c>
      <c r="C243" s="36" t="s">
        <v>883</v>
      </c>
      <c r="D243" s="38" t="s">
        <v>872</v>
      </c>
      <c r="E243" s="36" t="s">
        <v>19</v>
      </c>
      <c r="F243" s="36" t="s">
        <v>20</v>
      </c>
      <c r="G243" s="36">
        <v>80</v>
      </c>
      <c r="H243" s="36"/>
      <c r="I243" s="36" t="s">
        <v>884</v>
      </c>
      <c r="J243" s="36" t="s">
        <v>885</v>
      </c>
      <c r="K243" s="4">
        <v>0</v>
      </c>
      <c r="L243" s="5">
        <v>2</v>
      </c>
      <c r="M243" s="5">
        <v>0</v>
      </c>
      <c r="N243" s="39">
        <f>LOG(K243+([2]Values!$D$8*L243)+([2]Values!$D$9*M243)+(O243*[2]Values!D$10)+(P243*[2]Values!$D$11)+1)</f>
        <v>0.18072833031650518</v>
      </c>
      <c r="O243" s="40">
        <v>1</v>
      </c>
      <c r="P243" s="40">
        <v>0</v>
      </c>
      <c r="Q243" s="41" t="s">
        <v>23</v>
      </c>
    </row>
    <row r="244" spans="1:17" ht="12.3">
      <c r="A244" s="44">
        <v>43743</v>
      </c>
      <c r="B244" s="45" t="s">
        <v>216</v>
      </c>
      <c r="C244" s="45" t="s">
        <v>843</v>
      </c>
      <c r="D244" s="46" t="s">
        <v>886</v>
      </c>
      <c r="E244" s="45" t="s">
        <v>206</v>
      </c>
      <c r="F244" s="45" t="s">
        <v>20</v>
      </c>
      <c r="G244" s="45"/>
      <c r="H244" s="45"/>
      <c r="I244" s="45" t="s">
        <v>845</v>
      </c>
      <c r="J244" s="45" t="s">
        <v>846</v>
      </c>
      <c r="K244" s="4">
        <v>1</v>
      </c>
      <c r="L244" s="47">
        <v>2</v>
      </c>
      <c r="M244" s="47">
        <v>0</v>
      </c>
      <c r="N244" s="48">
        <f>LOG(K244+([2]Values!$D$8*L244)+([2]Values!$D$9*M244)+(O244*[2]Values!D$10)+(P244*[2]Values!$D$11)+1)</f>
        <v>0.40445841231811352</v>
      </c>
      <c r="O244" s="45">
        <v>0</v>
      </c>
      <c r="P244" s="45">
        <v>1</v>
      </c>
      <c r="Q244" s="49" t="s">
        <v>23</v>
      </c>
    </row>
    <row r="245" spans="1:17" ht="12.3">
      <c r="A245" s="37">
        <v>43745</v>
      </c>
      <c r="B245" s="36" t="s">
        <v>199</v>
      </c>
      <c r="C245" s="36" t="s">
        <v>200</v>
      </c>
      <c r="D245" s="38" t="s">
        <v>851</v>
      </c>
      <c r="E245" s="36" t="s">
        <v>19</v>
      </c>
      <c r="F245" s="36" t="s">
        <v>20</v>
      </c>
      <c r="G245" s="36">
        <v>20</v>
      </c>
      <c r="H245" s="36"/>
      <c r="I245" s="36" t="s">
        <v>887</v>
      </c>
      <c r="J245" s="36" t="s">
        <v>888</v>
      </c>
      <c r="K245" s="4">
        <v>0</v>
      </c>
      <c r="L245" s="5">
        <v>0</v>
      </c>
      <c r="M245" s="5">
        <v>0</v>
      </c>
      <c r="N245" s="39">
        <f>LOG(K245+([2]Values!$D$8*L245)+([2]Values!$D$9*M245)+(O245*[2]Values!D$10)+(P245*[2]Values!$D$11)+1)</f>
        <v>7.9321952534958575E-3</v>
      </c>
      <c r="O245" s="40">
        <v>2</v>
      </c>
      <c r="P245" s="40">
        <v>0</v>
      </c>
      <c r="Q245" s="41" t="s">
        <v>23</v>
      </c>
    </row>
    <row r="246" spans="1:17" ht="12.3">
      <c r="A246" s="79">
        <v>43748</v>
      </c>
      <c r="B246" s="45" t="s">
        <v>44</v>
      </c>
      <c r="C246" s="45" t="s">
        <v>162</v>
      </c>
      <c r="D246" s="46" t="s">
        <v>391</v>
      </c>
      <c r="E246" s="45" t="s">
        <v>206</v>
      </c>
      <c r="F246" s="45" t="s">
        <v>20</v>
      </c>
      <c r="G246" s="45"/>
      <c r="H246" s="45"/>
      <c r="I246" s="45" t="s">
        <v>889</v>
      </c>
      <c r="J246" s="45" t="s">
        <v>890</v>
      </c>
      <c r="K246" s="4">
        <v>1</v>
      </c>
      <c r="L246" s="47">
        <v>2</v>
      </c>
      <c r="M246" s="47"/>
      <c r="N246" s="48">
        <f>LOG(K246+([2]Values!$D$8*L246)+([2]Values!$D$9*M246)+(O246*[2]Values!D$10)+(P246*[2]Values!$D$11)+1)</f>
        <v>0.54286835612379225</v>
      </c>
      <c r="O246" s="62">
        <v>100</v>
      </c>
      <c r="P246" s="45">
        <v>2</v>
      </c>
      <c r="Q246" s="49" t="s">
        <v>23</v>
      </c>
    </row>
    <row r="247" spans="1:17" ht="12.3">
      <c r="A247" s="80">
        <v>43750</v>
      </c>
      <c r="B247" s="36" t="s">
        <v>83</v>
      </c>
      <c r="C247" s="36" t="s">
        <v>891</v>
      </c>
      <c r="D247" s="38" t="s">
        <v>837</v>
      </c>
      <c r="E247" s="36" t="s">
        <v>19</v>
      </c>
      <c r="F247" s="36" t="s">
        <v>20</v>
      </c>
      <c r="G247" s="36"/>
      <c r="H247" s="36"/>
      <c r="I247" s="51">
        <v>22037</v>
      </c>
      <c r="J247" s="51">
        <v>110303</v>
      </c>
      <c r="K247" s="4">
        <v>0</v>
      </c>
      <c r="L247" s="5">
        <v>0</v>
      </c>
      <c r="M247" s="5">
        <v>59</v>
      </c>
      <c r="N247" s="39">
        <f>LOG(K247+([2]Values!$D$8*L247)+([2]Values!$D$9*M247)+(O247*[2]Values!D$10)+(P247*[2]Values!$D$11)+1)</f>
        <v>0.36570371873771668</v>
      </c>
      <c r="O247" s="40">
        <v>26</v>
      </c>
      <c r="P247" s="40">
        <v>0</v>
      </c>
      <c r="Q247" s="41" t="s">
        <v>23</v>
      </c>
    </row>
    <row r="248" spans="1:17" ht="12.3">
      <c r="A248" s="80">
        <v>43750</v>
      </c>
      <c r="B248" s="36" t="s">
        <v>17</v>
      </c>
      <c r="C248" s="36" t="s">
        <v>425</v>
      </c>
      <c r="D248" s="38" t="s">
        <v>837</v>
      </c>
      <c r="E248" s="36" t="s">
        <v>19</v>
      </c>
      <c r="F248" s="36" t="s">
        <v>20</v>
      </c>
      <c r="G248" s="36">
        <v>7</v>
      </c>
      <c r="H248" s="36"/>
      <c r="I248" s="36" t="s">
        <v>892</v>
      </c>
      <c r="J248" s="36" t="s">
        <v>893</v>
      </c>
      <c r="K248" s="4">
        <v>0</v>
      </c>
      <c r="L248" s="5">
        <v>0</v>
      </c>
      <c r="M248" s="5"/>
      <c r="N248" s="39">
        <f>LOG(K248+([2]Values!$D$8*L248)+([2]Values!$D$9*M248)+(O248*[2]Values!D$10)+(P248*[2]Values!$D$11)+1)</f>
        <v>5.6234907072035586E-2</v>
      </c>
      <c r="O248" s="42">
        <v>15</v>
      </c>
      <c r="P248" s="40"/>
      <c r="Q248" s="41" t="s">
        <v>23</v>
      </c>
    </row>
    <row r="249" spans="1:17" ht="12.3">
      <c r="A249" s="81">
        <v>43751</v>
      </c>
      <c r="B249" s="53" t="s">
        <v>24</v>
      </c>
      <c r="C249" s="53" t="s">
        <v>271</v>
      </c>
      <c r="D249" s="54" t="s">
        <v>894</v>
      </c>
      <c r="E249" s="53" t="s">
        <v>19</v>
      </c>
      <c r="F249" s="53" t="s">
        <v>20</v>
      </c>
      <c r="G249" s="53"/>
      <c r="H249" s="53"/>
      <c r="I249" s="53" t="s">
        <v>895</v>
      </c>
      <c r="J249" s="53" t="s">
        <v>896</v>
      </c>
      <c r="K249" s="4">
        <v>0</v>
      </c>
      <c r="L249" s="5">
        <v>0</v>
      </c>
      <c r="M249" s="5">
        <v>0</v>
      </c>
      <c r="N249" s="39">
        <f>LOG(K249+([2]Values!$D$8*L249)+([2]Values!$D$9*M249)+(O249*[2]Values!D$10)+(P249*[2]Values!$D$11)+1)</f>
        <v>3.8287005558778897E-2</v>
      </c>
      <c r="O249" s="77">
        <v>10</v>
      </c>
      <c r="P249" s="53">
        <v>0</v>
      </c>
      <c r="Q249" s="41" t="s">
        <v>23</v>
      </c>
    </row>
    <row r="250" spans="1:17" ht="12.3">
      <c r="A250" s="81">
        <v>43753</v>
      </c>
      <c r="B250" s="53" t="s">
        <v>39</v>
      </c>
      <c r="C250" s="53" t="s">
        <v>682</v>
      </c>
      <c r="D250" s="54" t="s">
        <v>894</v>
      </c>
      <c r="E250" s="53" t="s">
        <v>19</v>
      </c>
      <c r="F250" s="53" t="s">
        <v>20</v>
      </c>
      <c r="G250" s="53">
        <v>14</v>
      </c>
      <c r="H250" s="53" t="s">
        <v>35</v>
      </c>
      <c r="I250" s="53" t="s">
        <v>897</v>
      </c>
      <c r="J250" s="53" t="s">
        <v>898</v>
      </c>
      <c r="K250" s="4">
        <v>0</v>
      </c>
      <c r="L250" s="5">
        <v>0</v>
      </c>
      <c r="M250" s="5">
        <v>0</v>
      </c>
      <c r="N250" s="39">
        <f>LOG(K250+([2]Values!$D$8*L250)+([2]Values!$D$9*M250)+(O250*[2]Values!D$10)+(P250*[2]Values!$D$11)+1)</f>
        <v>3.9842071266415419E-3</v>
      </c>
      <c r="O250" s="77">
        <v>1</v>
      </c>
      <c r="P250" s="53"/>
      <c r="Q250" s="41" t="s">
        <v>23</v>
      </c>
    </row>
    <row r="251" spans="1:17" ht="12.3">
      <c r="A251" s="79">
        <v>43754</v>
      </c>
      <c r="B251" s="45" t="s">
        <v>62</v>
      </c>
      <c r="C251" s="45" t="s">
        <v>693</v>
      </c>
      <c r="D251" s="46" t="s">
        <v>899</v>
      </c>
      <c r="E251" s="45" t="s">
        <v>41</v>
      </c>
      <c r="F251" s="45" t="s">
        <v>20</v>
      </c>
      <c r="G251" s="45">
        <v>9</v>
      </c>
      <c r="H251" s="45" t="s">
        <v>363</v>
      </c>
      <c r="I251" s="45" t="s">
        <v>900</v>
      </c>
      <c r="J251" s="45" t="s">
        <v>901</v>
      </c>
      <c r="K251" s="4">
        <v>7</v>
      </c>
      <c r="L251" s="47">
        <v>215</v>
      </c>
      <c r="M251" s="47">
        <v>8295</v>
      </c>
      <c r="N251" s="48">
        <f>LOG(K251+([2]Values!$D$8*L251)+([2]Values!$D$9*M251)+(O251*[2]Values!D$10)+(P251*[2]Values!$D$11)+1)</f>
        <v>2.4874656215380502</v>
      </c>
      <c r="O251" s="45">
        <v>5655</v>
      </c>
      <c r="P251" s="45">
        <v>1312</v>
      </c>
      <c r="Q251" s="49" t="s">
        <v>23</v>
      </c>
    </row>
    <row r="252" spans="1:17" ht="12.3">
      <c r="A252" s="80">
        <v>43755</v>
      </c>
      <c r="B252" s="36" t="s">
        <v>24</v>
      </c>
      <c r="C252" s="36" t="s">
        <v>25</v>
      </c>
      <c r="D252" s="38" t="s">
        <v>902</v>
      </c>
      <c r="E252" s="36" t="s">
        <v>348</v>
      </c>
      <c r="F252" s="36" t="s">
        <v>20</v>
      </c>
      <c r="G252" s="36"/>
      <c r="H252" s="36"/>
      <c r="I252" s="36" t="s">
        <v>903</v>
      </c>
      <c r="J252" s="36" t="s">
        <v>904</v>
      </c>
      <c r="K252" s="4">
        <v>0</v>
      </c>
      <c r="L252" s="5">
        <v>0</v>
      </c>
      <c r="M252" s="5">
        <v>0</v>
      </c>
      <c r="N252" s="39">
        <f>LOG(K252+([2]Values!$D$8*L252)+([2]Values!$D$9*M252)+(O252*[2]Values!D$10)+(P252*[2]Values!$D$11)+1)</f>
        <v>3.9842071266415419E-3</v>
      </c>
      <c r="O252" s="40">
        <v>1</v>
      </c>
      <c r="P252" s="40">
        <v>0</v>
      </c>
      <c r="Q252" s="41" t="s">
        <v>23</v>
      </c>
    </row>
    <row r="253" spans="1:17" ht="12.3">
      <c r="A253" s="80">
        <v>43756</v>
      </c>
      <c r="B253" s="36" t="s">
        <v>44</v>
      </c>
      <c r="C253" s="36" t="s">
        <v>162</v>
      </c>
      <c r="D253" s="38" t="s">
        <v>851</v>
      </c>
      <c r="E253" s="36" t="s">
        <v>206</v>
      </c>
      <c r="F253" s="36" t="s">
        <v>20</v>
      </c>
      <c r="G253" s="36"/>
      <c r="H253" s="36"/>
      <c r="I253" s="36" t="s">
        <v>905</v>
      </c>
      <c r="J253" s="36" t="s">
        <v>906</v>
      </c>
      <c r="K253" s="4">
        <v>0</v>
      </c>
      <c r="L253" s="5">
        <v>0</v>
      </c>
      <c r="M253" s="5">
        <v>0</v>
      </c>
      <c r="N253" s="39">
        <f>LOG(K253+([2]Values!$D$8*L253)+([2]Values!$D$9*M253)+(O253*[2]Values!D$10)+(P253*[2]Values!$D$11)+1)</f>
        <v>7.9321952534958575E-3</v>
      </c>
      <c r="O253" s="40">
        <v>2</v>
      </c>
      <c r="P253" s="40">
        <v>0</v>
      </c>
      <c r="Q253" s="41" t="s">
        <v>23</v>
      </c>
    </row>
    <row r="254" spans="1:17" ht="12.3">
      <c r="A254" s="80">
        <v>43757</v>
      </c>
      <c r="B254" s="36" t="s">
        <v>591</v>
      </c>
      <c r="C254" s="36" t="s">
        <v>907</v>
      </c>
      <c r="D254" s="38" t="s">
        <v>880</v>
      </c>
      <c r="E254" s="36" t="s">
        <v>19</v>
      </c>
      <c r="F254" s="36" t="s">
        <v>20</v>
      </c>
      <c r="G254" s="36">
        <v>12</v>
      </c>
      <c r="H254" s="36"/>
      <c r="I254" s="36" t="s">
        <v>908</v>
      </c>
      <c r="J254" s="36" t="s">
        <v>909</v>
      </c>
      <c r="K254" s="4">
        <v>0</v>
      </c>
      <c r="L254" s="5">
        <v>0</v>
      </c>
      <c r="M254" s="5">
        <v>0</v>
      </c>
      <c r="N254" s="39">
        <f>LOG(K254+([2]Values!$D$8*L254)+([2]Values!$D$9*M254)+(O254*[2]Values!D$10)+(P254*[2]Values!$D$11)+1)</f>
        <v>3.9842071266415419E-3</v>
      </c>
      <c r="O254" s="40">
        <v>1</v>
      </c>
      <c r="P254" s="40">
        <v>0</v>
      </c>
      <c r="Q254" s="41" t="s">
        <v>23</v>
      </c>
    </row>
    <row r="255" spans="1:17" ht="12.3">
      <c r="A255" s="80">
        <v>43757</v>
      </c>
      <c r="B255" s="36" t="s">
        <v>910</v>
      </c>
      <c r="C255" s="36" t="s">
        <v>911</v>
      </c>
      <c r="D255" s="38" t="s">
        <v>912</v>
      </c>
      <c r="E255" s="36" t="s">
        <v>19</v>
      </c>
      <c r="F255" s="36" t="s">
        <v>20</v>
      </c>
      <c r="G255" s="36"/>
      <c r="H255" s="36"/>
      <c r="I255" s="36" t="s">
        <v>913</v>
      </c>
      <c r="J255" s="51">
        <v>178084</v>
      </c>
      <c r="K255" s="4">
        <v>0</v>
      </c>
      <c r="L255" s="5">
        <v>0</v>
      </c>
      <c r="M255" s="5">
        <v>0</v>
      </c>
      <c r="N255" s="39">
        <f>LOG(K255+([2]Values!$D$8*L255)+([2]Values!$D$9*M255)+(O255*[2]Values!D$10)+(P255*[2]Values!$D$11)+1)</f>
        <v>3.8287005558778897E-2</v>
      </c>
      <c r="O255" s="42">
        <v>10</v>
      </c>
      <c r="P255" s="40">
        <v>0</v>
      </c>
      <c r="Q255" s="41" t="s">
        <v>23</v>
      </c>
    </row>
    <row r="256" spans="1:17" ht="12.3">
      <c r="A256" s="80">
        <v>43759</v>
      </c>
      <c r="B256" s="36" t="s">
        <v>17</v>
      </c>
      <c r="C256" s="36" t="s">
        <v>110</v>
      </c>
      <c r="D256" s="50" t="s">
        <v>844</v>
      </c>
      <c r="E256" s="36" t="s">
        <v>19</v>
      </c>
      <c r="F256" s="36" t="s">
        <v>20</v>
      </c>
      <c r="G256" s="36">
        <v>10</v>
      </c>
      <c r="H256" s="36"/>
      <c r="I256" s="59">
        <v>43612</v>
      </c>
      <c r="J256" s="36" t="s">
        <v>914</v>
      </c>
      <c r="K256" s="4">
        <v>0</v>
      </c>
      <c r="L256" s="5">
        <v>0</v>
      </c>
      <c r="M256" s="5">
        <v>0</v>
      </c>
      <c r="N256" s="39">
        <f>LOG(K256+([2]Values!$D$8*L256)+([2]Values!$D$9*M256)+(O256*[2]Values!D$10)+(P256*[2]Values!$D$11)+1)</f>
        <v>0.1645935225838748</v>
      </c>
      <c r="O256" s="42">
        <v>50</v>
      </c>
      <c r="P256" s="40">
        <v>0</v>
      </c>
      <c r="Q256" s="41" t="s">
        <v>23</v>
      </c>
    </row>
    <row r="257" spans="1:17" ht="12.3">
      <c r="A257" s="80">
        <v>43759</v>
      </c>
      <c r="B257" s="36" t="s">
        <v>915</v>
      </c>
      <c r="C257" s="36" t="s">
        <v>916</v>
      </c>
      <c r="D257" s="38" t="s">
        <v>851</v>
      </c>
      <c r="E257" s="36" t="s">
        <v>19</v>
      </c>
      <c r="F257" s="36" t="s">
        <v>20</v>
      </c>
      <c r="G257" s="36">
        <v>12</v>
      </c>
      <c r="H257" s="36" t="s">
        <v>134</v>
      </c>
      <c r="I257" s="36" t="s">
        <v>917</v>
      </c>
      <c r="J257" s="36" t="s">
        <v>918</v>
      </c>
      <c r="K257" s="4">
        <v>0</v>
      </c>
      <c r="L257" s="5">
        <v>0</v>
      </c>
      <c r="M257" s="5">
        <v>0</v>
      </c>
      <c r="N257" s="39">
        <f>LOG(K257+([2]Values!$D$8*L257)+([2]Values!$D$9*M257)+(O257*[2]Values!D$10)+(P257*[2]Values!$D$11)+1)</f>
        <v>1.9565284656210144E-2</v>
      </c>
      <c r="O257" s="42">
        <v>5</v>
      </c>
      <c r="P257" s="40">
        <v>0</v>
      </c>
      <c r="Q257" s="41" t="s">
        <v>23</v>
      </c>
    </row>
    <row r="258" spans="1:17" ht="12.3">
      <c r="A258" s="36"/>
      <c r="B258" s="36"/>
      <c r="C258" s="36"/>
      <c r="D258" s="38" t="s">
        <v>851</v>
      </c>
      <c r="E258" s="36"/>
      <c r="F258" s="36"/>
      <c r="G258" s="36"/>
      <c r="H258" s="36" t="s">
        <v>134</v>
      </c>
      <c r="I258" s="36"/>
      <c r="J258" s="36"/>
      <c r="K258" s="4">
        <v>0</v>
      </c>
      <c r="L258" s="5">
        <v>0</v>
      </c>
      <c r="M258" s="5">
        <v>0</v>
      </c>
      <c r="N258" s="39">
        <f>LOG(K258+([2]Values!$D$8*L258)+([2]Values!$D$9*M258)+(O258*[2]Values!D$10)+(P258*[2]Values!$D$11)+1)</f>
        <v>7.9321952534958575E-3</v>
      </c>
      <c r="O258" s="40">
        <v>2</v>
      </c>
      <c r="P258" s="40">
        <v>0</v>
      </c>
      <c r="Q258" s="41" t="s">
        <v>23</v>
      </c>
    </row>
    <row r="259" spans="1:17" ht="12.3">
      <c r="A259" s="80">
        <v>43762</v>
      </c>
      <c r="B259" s="36" t="s">
        <v>404</v>
      </c>
      <c r="C259" s="36" t="s">
        <v>919</v>
      </c>
      <c r="D259" s="38" t="s">
        <v>920</v>
      </c>
      <c r="E259" s="36" t="s">
        <v>19</v>
      </c>
      <c r="F259" s="36" t="s">
        <v>20</v>
      </c>
      <c r="G259" s="36">
        <v>5</v>
      </c>
      <c r="H259" s="36"/>
      <c r="I259" s="36" t="s">
        <v>921</v>
      </c>
      <c r="J259" s="36" t="s">
        <v>922</v>
      </c>
      <c r="K259" s="4">
        <v>0</v>
      </c>
      <c r="L259" s="5">
        <v>0</v>
      </c>
      <c r="M259" s="5">
        <v>0</v>
      </c>
      <c r="N259" s="39">
        <f>LOG(K259+([2]Values!$D$8*L259)+([2]Values!$D$9*M259)+(O259*[2]Values!D$10)+(P259*[2]Values!$D$11)+1)</f>
        <v>3.9842071266415419E-3</v>
      </c>
      <c r="O259" s="40">
        <v>1</v>
      </c>
      <c r="P259" s="40">
        <v>0</v>
      </c>
      <c r="Q259" s="41" t="s">
        <v>23</v>
      </c>
    </row>
    <row r="260" spans="1:17" ht="12.3">
      <c r="A260" s="80">
        <v>43763</v>
      </c>
      <c r="B260" s="36" t="s">
        <v>652</v>
      </c>
      <c r="C260" s="36" t="s">
        <v>923</v>
      </c>
      <c r="D260" s="38" t="s">
        <v>894</v>
      </c>
      <c r="E260" s="36" t="s">
        <v>348</v>
      </c>
      <c r="F260" s="36" t="s">
        <v>20</v>
      </c>
      <c r="G260" s="36">
        <v>12</v>
      </c>
      <c r="H260" s="36" t="s">
        <v>134</v>
      </c>
      <c r="I260" s="36" t="s">
        <v>924</v>
      </c>
      <c r="J260" s="36" t="s">
        <v>925</v>
      </c>
      <c r="K260" s="4">
        <v>0</v>
      </c>
      <c r="L260" s="5">
        <v>0</v>
      </c>
      <c r="M260" s="5">
        <v>0</v>
      </c>
      <c r="N260" s="39">
        <f>LOG(K260+([2]Values!$D$8*L260)+([2]Values!$D$9*M260)+(O260*[2]Values!D$10)+(P260*[2]Values!$D$11)+1)</f>
        <v>7.9321952534958575E-3</v>
      </c>
      <c r="O260" s="40">
        <v>2</v>
      </c>
      <c r="P260" s="40">
        <v>0</v>
      </c>
      <c r="Q260" s="41" t="s">
        <v>23</v>
      </c>
    </row>
    <row r="261" spans="1:17" ht="12.3">
      <c r="A261" s="80">
        <v>43765</v>
      </c>
      <c r="B261" s="36" t="s">
        <v>83</v>
      </c>
      <c r="C261" s="36" t="s">
        <v>821</v>
      </c>
      <c r="D261" s="50" t="s">
        <v>856</v>
      </c>
      <c r="E261" s="36" t="s">
        <v>19</v>
      </c>
      <c r="F261" s="36" t="s">
        <v>20</v>
      </c>
      <c r="G261" s="36">
        <v>10</v>
      </c>
      <c r="H261" s="36" t="s">
        <v>123</v>
      </c>
      <c r="I261" s="36" t="s">
        <v>926</v>
      </c>
      <c r="J261" s="36" t="s">
        <v>927</v>
      </c>
      <c r="K261" s="4">
        <v>0</v>
      </c>
      <c r="L261" s="5">
        <v>21</v>
      </c>
      <c r="M261" s="5"/>
      <c r="N261" s="39">
        <f>LOG(K261+([2]Values!$D$8*L261)+([2]Values!$D$9*M261)+(O261*[2]Values!D$10)+(P261*[2]Values!$D$11)+1)</f>
        <v>1.5722142123085892</v>
      </c>
      <c r="O261" s="40">
        <v>3272</v>
      </c>
      <c r="P261" s="40">
        <v>28</v>
      </c>
      <c r="Q261" s="41" t="s">
        <v>23</v>
      </c>
    </row>
    <row r="262" spans="1:17" ht="12.3">
      <c r="A262" s="80">
        <v>43767</v>
      </c>
      <c r="B262" s="36" t="s">
        <v>172</v>
      </c>
      <c r="C262" s="36" t="s">
        <v>928</v>
      </c>
      <c r="D262" s="38" t="s">
        <v>894</v>
      </c>
      <c r="E262" s="36" t="s">
        <v>19</v>
      </c>
      <c r="F262" s="36" t="s">
        <v>69</v>
      </c>
      <c r="G262" s="36">
        <v>1</v>
      </c>
      <c r="H262" s="36"/>
      <c r="I262" s="36" t="s">
        <v>929</v>
      </c>
      <c r="J262" s="36" t="s">
        <v>930</v>
      </c>
      <c r="K262" s="4">
        <v>0</v>
      </c>
      <c r="L262" s="5">
        <v>0</v>
      </c>
      <c r="M262" s="5">
        <v>0</v>
      </c>
      <c r="N262" s="39">
        <f>LOG(K262+([2]Values!$D$8*L262)+([2]Values!$D$9*M262)+(O262*[2]Values!D$10)+(P262*[2]Values!$D$11)+1)</f>
        <v>3.9842071266415419E-3</v>
      </c>
      <c r="O262" s="40">
        <v>1</v>
      </c>
      <c r="P262" s="40">
        <v>0</v>
      </c>
      <c r="Q262" s="41" t="s">
        <v>23</v>
      </c>
    </row>
    <row r="263" spans="1:17" ht="12.3">
      <c r="A263" s="79">
        <v>43767</v>
      </c>
      <c r="B263" s="45" t="s">
        <v>62</v>
      </c>
      <c r="C263" s="45" t="s">
        <v>693</v>
      </c>
      <c r="D263" s="46" t="s">
        <v>931</v>
      </c>
      <c r="E263" s="45" t="s">
        <v>41</v>
      </c>
      <c r="F263" s="45" t="s">
        <v>20</v>
      </c>
      <c r="G263" s="45">
        <v>7</v>
      </c>
      <c r="H263" s="45" t="s">
        <v>123</v>
      </c>
      <c r="I263" s="45" t="s">
        <v>932</v>
      </c>
      <c r="J263" s="45" t="s">
        <v>933</v>
      </c>
      <c r="K263" s="4">
        <v>24</v>
      </c>
      <c r="L263" s="47">
        <v>563</v>
      </c>
      <c r="M263" s="47">
        <v>168576</v>
      </c>
      <c r="N263" s="48">
        <f>LOG(K263+([2]Values!$D$8*L263)+([2]Values!$D$9*M263)+(O263*[2]Values!D$10)+(P263*[2]Values!$D$11)+1)</f>
        <v>3.6289273812005214</v>
      </c>
      <c r="O263" s="45">
        <v>21681</v>
      </c>
      <c r="P263" s="45">
        <v>25795</v>
      </c>
      <c r="Q263" s="49" t="s">
        <v>23</v>
      </c>
    </row>
    <row r="264" spans="1:17" ht="12.3">
      <c r="A264" s="80">
        <v>43768</v>
      </c>
      <c r="B264" s="36" t="s">
        <v>934</v>
      </c>
      <c r="C264" s="36" t="s">
        <v>935</v>
      </c>
      <c r="D264" s="38" t="s">
        <v>912</v>
      </c>
      <c r="E264" s="36" t="s">
        <v>19</v>
      </c>
      <c r="F264" s="36" t="s">
        <v>20</v>
      </c>
      <c r="G264" s="36"/>
      <c r="H264" s="36"/>
      <c r="I264" s="36" t="s">
        <v>936</v>
      </c>
      <c r="J264" s="36" t="s">
        <v>937</v>
      </c>
      <c r="K264" s="4"/>
      <c r="L264" s="5"/>
      <c r="M264" s="5"/>
      <c r="N264" s="39">
        <f>LOG(K264+([2]Values!$D$8*L264)+([2]Values!$D$9*M264)+(O264*[2]Values!D$10)+(P264*[2]Values!$D$11)+1)</f>
        <v>1.3225157736770255E-2</v>
      </c>
      <c r="O264" s="40"/>
      <c r="P264" s="40">
        <v>1</v>
      </c>
      <c r="Q264" s="41" t="s">
        <v>23</v>
      </c>
    </row>
    <row r="265" spans="1:17" ht="12.3">
      <c r="A265" s="79">
        <v>43769</v>
      </c>
      <c r="B265" s="45" t="s">
        <v>62</v>
      </c>
      <c r="C265" s="45" t="s">
        <v>693</v>
      </c>
      <c r="D265" s="46" t="s">
        <v>847</v>
      </c>
      <c r="E265" s="45" t="s">
        <v>41</v>
      </c>
      <c r="F265" s="45" t="s">
        <v>20</v>
      </c>
      <c r="G265" s="45">
        <v>7</v>
      </c>
      <c r="H265" s="45" t="s">
        <v>363</v>
      </c>
      <c r="I265" s="45" t="s">
        <v>938</v>
      </c>
      <c r="J265" s="45" t="s">
        <v>939</v>
      </c>
      <c r="K265" s="4" t="s">
        <v>940</v>
      </c>
      <c r="L265" s="82" t="s">
        <v>941</v>
      </c>
      <c r="M265" s="82" t="s">
        <v>941</v>
      </c>
      <c r="N265" s="48">
        <f>N263</f>
        <v>3.6289273812005214</v>
      </c>
      <c r="O265" s="83" t="s">
        <v>941</v>
      </c>
      <c r="P265" s="83" t="s">
        <v>941</v>
      </c>
      <c r="Q265" s="49" t="s">
        <v>23</v>
      </c>
    </row>
    <row r="266" spans="1:17" ht="12.3">
      <c r="A266" s="80">
        <v>43769</v>
      </c>
      <c r="B266" s="36" t="s">
        <v>942</v>
      </c>
      <c r="C266" s="36" t="s">
        <v>943</v>
      </c>
      <c r="D266" s="38" t="s">
        <v>944</v>
      </c>
      <c r="E266" s="36" t="s">
        <v>19</v>
      </c>
      <c r="F266" s="36" t="s">
        <v>20</v>
      </c>
      <c r="G266" s="36"/>
      <c r="H266" s="36"/>
      <c r="I266" s="36" t="s">
        <v>945</v>
      </c>
      <c r="J266" s="59">
        <v>43707</v>
      </c>
      <c r="K266" s="4">
        <v>0</v>
      </c>
      <c r="L266" s="5">
        <v>0</v>
      </c>
      <c r="M266" s="5">
        <v>0</v>
      </c>
      <c r="N266" s="39">
        <f>LOG(K266+([2]Values!$D$8*L266)+([2]Values!$D$9*M266)+(O266*[2]Values!D$10)+(P266*[2]Values!$D$11)+1)</f>
        <v>3.9842071266415419E-3</v>
      </c>
      <c r="O266" s="40">
        <v>1</v>
      </c>
      <c r="P266" s="40">
        <v>0</v>
      </c>
      <c r="Q266" s="41" t="s">
        <v>23</v>
      </c>
    </row>
    <row r="267" spans="1:17" ht="12.3">
      <c r="A267" s="80">
        <v>43769</v>
      </c>
      <c r="B267" s="36" t="s">
        <v>17</v>
      </c>
      <c r="C267" s="36" t="s">
        <v>946</v>
      </c>
      <c r="D267" s="38" t="s">
        <v>944</v>
      </c>
      <c r="E267" s="36" t="s">
        <v>19</v>
      </c>
      <c r="F267" s="36" t="s">
        <v>20</v>
      </c>
      <c r="G267" s="36">
        <v>2</v>
      </c>
      <c r="H267" s="36"/>
      <c r="I267" s="36" t="s">
        <v>947</v>
      </c>
      <c r="J267" s="36" t="s">
        <v>948</v>
      </c>
      <c r="K267" s="4"/>
      <c r="L267" s="5"/>
      <c r="M267" s="5"/>
      <c r="N267" s="39">
        <f>LOG(K267+([2]Values!$D$8*L267)+([2]Values!$D$9*M267)+(O267*[2]Values!D$10)+(P267*[2]Values!$D$11)+1)</f>
        <v>2.6059455472989167E-2</v>
      </c>
      <c r="O267" s="40"/>
      <c r="P267" s="40">
        <v>2</v>
      </c>
      <c r="Q267" s="41" t="s">
        <v>23</v>
      </c>
    </row>
    <row r="268" spans="1:17" ht="12.3">
      <c r="A268" s="37">
        <v>43770</v>
      </c>
      <c r="B268" s="36" t="s">
        <v>292</v>
      </c>
      <c r="C268" s="36" t="s">
        <v>631</v>
      </c>
      <c r="D268" s="38" t="s">
        <v>949</v>
      </c>
      <c r="E268" s="36" t="s">
        <v>19</v>
      </c>
      <c r="F268" s="36" t="s">
        <v>20</v>
      </c>
      <c r="G268" s="36"/>
      <c r="H268" s="36"/>
      <c r="I268" s="36" t="s">
        <v>443</v>
      </c>
      <c r="J268" s="36" t="s">
        <v>950</v>
      </c>
      <c r="K268" s="4">
        <v>0</v>
      </c>
      <c r="L268" s="5">
        <v>0</v>
      </c>
      <c r="M268" s="5"/>
      <c r="N268" s="39">
        <f>LOG(K268+([2]Values!$D$8*L268)+([2]Values!$D$9*M268)+(O268*[2]Values!D$10)+(P268*[2]Values!$D$11)+1)</f>
        <v>0.1829420009396194</v>
      </c>
      <c r="O268" s="40">
        <v>30</v>
      </c>
      <c r="P268" s="40">
        <v>8</v>
      </c>
      <c r="Q268" s="41" t="s">
        <v>23</v>
      </c>
    </row>
    <row r="269" spans="1:17" ht="12.3">
      <c r="A269" s="37">
        <v>43771</v>
      </c>
      <c r="B269" s="36" t="s">
        <v>793</v>
      </c>
      <c r="C269" s="36" t="s">
        <v>951</v>
      </c>
      <c r="D269" s="38" t="s">
        <v>840</v>
      </c>
      <c r="E269" s="36" t="s">
        <v>19</v>
      </c>
      <c r="F269" s="36" t="s">
        <v>20</v>
      </c>
      <c r="G269" s="36"/>
      <c r="H269" s="36"/>
      <c r="I269" s="36" t="s">
        <v>952</v>
      </c>
      <c r="J269" s="36" t="s">
        <v>953</v>
      </c>
      <c r="K269" s="4">
        <v>0</v>
      </c>
      <c r="L269" s="5">
        <v>0</v>
      </c>
      <c r="M269" s="5">
        <v>0</v>
      </c>
      <c r="N269" s="39">
        <f>LOG(K269+([2]Values!$D$8*L269)+([2]Values!$D$9*M269)+(O269*[2]Values!D$10)+(P269*[2]Values!$D$11)+1)</f>
        <v>7.3470426327456026E-2</v>
      </c>
      <c r="O269" s="42">
        <v>20</v>
      </c>
      <c r="P269" s="40">
        <v>0</v>
      </c>
      <c r="Q269" s="41" t="s">
        <v>23</v>
      </c>
    </row>
    <row r="270" spans="1:17" ht="12.3">
      <c r="A270" s="37">
        <v>43775</v>
      </c>
      <c r="B270" s="36" t="s">
        <v>17</v>
      </c>
      <c r="C270" s="36" t="s">
        <v>110</v>
      </c>
      <c r="D270" s="38" t="s">
        <v>868</v>
      </c>
      <c r="E270" s="36" t="s">
        <v>19</v>
      </c>
      <c r="F270" s="36" t="s">
        <v>20</v>
      </c>
      <c r="G270" s="36">
        <v>16</v>
      </c>
      <c r="H270" s="36"/>
      <c r="I270" s="36" t="s">
        <v>954</v>
      </c>
      <c r="J270" s="36" t="s">
        <v>955</v>
      </c>
      <c r="K270" s="4">
        <v>0</v>
      </c>
      <c r="L270" s="5">
        <v>0</v>
      </c>
      <c r="M270" s="5">
        <v>0</v>
      </c>
      <c r="N270" s="39">
        <f>LOG(K270+([2]Values!$D$8*L270)+([2]Values!$D$9*M270)+(O270*[2]Values!D$10)+(P270*[2]Values!$D$11)+1)</f>
        <v>3.8287005558778897E-2</v>
      </c>
      <c r="O270" s="42">
        <v>10</v>
      </c>
      <c r="P270" s="40">
        <v>0</v>
      </c>
      <c r="Q270" s="41" t="s">
        <v>23</v>
      </c>
    </row>
    <row r="271" spans="1:17" ht="12.3">
      <c r="A271" s="37">
        <v>43776</v>
      </c>
      <c r="B271" s="36" t="s">
        <v>199</v>
      </c>
      <c r="C271" s="36" t="s">
        <v>656</v>
      </c>
      <c r="D271" s="38" t="s">
        <v>827</v>
      </c>
      <c r="E271" s="36" t="s">
        <v>19</v>
      </c>
      <c r="F271" s="36" t="s">
        <v>20</v>
      </c>
      <c r="G271" s="36">
        <v>14</v>
      </c>
      <c r="H271" s="36" t="s">
        <v>134</v>
      </c>
      <c r="I271" s="36" t="s">
        <v>956</v>
      </c>
      <c r="J271" s="36" t="s">
        <v>957</v>
      </c>
      <c r="K271" s="4">
        <v>0</v>
      </c>
      <c r="L271" s="5">
        <v>0</v>
      </c>
      <c r="M271" s="5">
        <v>0</v>
      </c>
      <c r="N271" s="39">
        <f>LOG(K271+([2]Values!$D$8*L271)+([2]Values!$D$9*M271)+(O271*[2]Values!D$10)+(P271*[2]Values!$D$11)+1)</f>
        <v>1.9565284656210144E-2</v>
      </c>
      <c r="O271" s="42">
        <v>5</v>
      </c>
      <c r="P271" s="40">
        <v>0</v>
      </c>
      <c r="Q271" s="41" t="s">
        <v>23</v>
      </c>
    </row>
    <row r="272" spans="1:17" ht="12.3">
      <c r="A272" s="44">
        <v>43776</v>
      </c>
      <c r="B272" s="45" t="s">
        <v>17</v>
      </c>
      <c r="C272" s="45" t="s">
        <v>768</v>
      </c>
      <c r="D272" s="46" t="s">
        <v>958</v>
      </c>
      <c r="E272" s="45" t="s">
        <v>19</v>
      </c>
      <c r="F272" s="45" t="s">
        <v>20</v>
      </c>
      <c r="G272" s="45">
        <v>8</v>
      </c>
      <c r="H272" s="45"/>
      <c r="I272" s="45" t="s">
        <v>959</v>
      </c>
      <c r="J272" s="45" t="s">
        <v>960</v>
      </c>
      <c r="K272" s="4">
        <v>8</v>
      </c>
      <c r="L272" s="47">
        <v>584</v>
      </c>
      <c r="M272" s="47">
        <v>13348</v>
      </c>
      <c r="N272" s="48">
        <f>LOG(K272+([2]Values!$D$8*L272)+([2]Values!$D$9*M272)+(O272*[2]Values!D$10)+(P272*[2]Values!$D$11)+1)</f>
        <v>2.6800587072720035</v>
      </c>
      <c r="O272" s="45">
        <v>5000</v>
      </c>
      <c r="P272" s="45">
        <v>1000</v>
      </c>
      <c r="Q272" s="49" t="s">
        <v>23</v>
      </c>
    </row>
    <row r="273" spans="1:17" ht="12.6">
      <c r="A273" s="80">
        <v>43780</v>
      </c>
      <c r="B273" s="36" t="s">
        <v>512</v>
      </c>
      <c r="C273" s="36" t="s">
        <v>961</v>
      </c>
      <c r="D273" s="38" t="s">
        <v>877</v>
      </c>
      <c r="E273" s="36" t="s">
        <v>19</v>
      </c>
      <c r="F273" s="63" t="s">
        <v>962</v>
      </c>
      <c r="G273" s="36">
        <v>9</v>
      </c>
      <c r="H273" s="36" t="s">
        <v>123</v>
      </c>
      <c r="I273" s="36" t="s">
        <v>963</v>
      </c>
      <c r="J273" s="36" t="s">
        <v>964</v>
      </c>
      <c r="K273" s="4">
        <v>0</v>
      </c>
      <c r="L273" s="5">
        <v>4</v>
      </c>
      <c r="M273" s="5">
        <v>1500</v>
      </c>
      <c r="N273" s="39">
        <f>LOG(K273+([2]Values!$D$8*L273)+([2]Values!$D$9*M273)+(O273*[2]Values!D$10)+(P273*[2]Values!$D$11)+1)</f>
        <v>1.8841798300884227</v>
      </c>
      <c r="O273" s="40">
        <v>2089</v>
      </c>
      <c r="P273" s="40">
        <v>900</v>
      </c>
      <c r="Q273" s="41" t="s">
        <v>23</v>
      </c>
    </row>
    <row r="274" spans="1:17" ht="12.3">
      <c r="A274" s="79">
        <v>43781</v>
      </c>
      <c r="B274" s="45" t="s">
        <v>44</v>
      </c>
      <c r="C274" s="45" t="s">
        <v>162</v>
      </c>
      <c r="D274" s="46" t="s">
        <v>965</v>
      </c>
      <c r="E274" s="45" t="s">
        <v>206</v>
      </c>
      <c r="F274" s="45" t="s">
        <v>20</v>
      </c>
      <c r="G274" s="45"/>
      <c r="H274" s="45"/>
      <c r="I274" s="45" t="s">
        <v>966</v>
      </c>
      <c r="J274" s="45" t="s">
        <v>967</v>
      </c>
      <c r="K274" s="4">
        <v>2</v>
      </c>
      <c r="L274" s="47">
        <v>9</v>
      </c>
      <c r="M274" s="47"/>
      <c r="N274" s="48">
        <f>LOG(K274+([2]Values!$D$8*L274)+([2]Values!$D$9*M274)+(O274*[2]Values!D$10)+(P274*[2]Values!$D$11)+1)</f>
        <v>1.1327574974359504</v>
      </c>
      <c r="O274" s="45">
        <v>900</v>
      </c>
      <c r="P274" s="45">
        <v>0</v>
      </c>
      <c r="Q274" s="49" t="s">
        <v>23</v>
      </c>
    </row>
    <row r="275" spans="1:17" ht="12.3">
      <c r="A275" s="80">
        <v>43781</v>
      </c>
      <c r="B275" s="36" t="s">
        <v>512</v>
      </c>
      <c r="C275" s="36" t="s">
        <v>968</v>
      </c>
      <c r="D275" s="38" t="s">
        <v>969</v>
      </c>
      <c r="E275" s="36" t="s">
        <v>19</v>
      </c>
      <c r="F275" s="36" t="s">
        <v>970</v>
      </c>
      <c r="G275" s="36">
        <v>4</v>
      </c>
      <c r="H275" s="36" t="s">
        <v>134</v>
      </c>
      <c r="I275" s="36" t="s">
        <v>971</v>
      </c>
      <c r="J275" s="36" t="s">
        <v>972</v>
      </c>
      <c r="K275" s="4">
        <v>0</v>
      </c>
      <c r="L275" s="5">
        <v>0</v>
      </c>
      <c r="M275" s="5">
        <v>0</v>
      </c>
      <c r="N275" s="39">
        <f>LOG(K275+([2]Values!$D$8*L275)+([2]Values!$D$9*M275)+(O275*[2]Values!D$10)+(P275*[2]Values!$D$11)+1)</f>
        <v>7.9321952534958575E-3</v>
      </c>
      <c r="O275" s="40">
        <v>2</v>
      </c>
      <c r="P275" s="40">
        <v>0</v>
      </c>
      <c r="Q275" s="41" t="s">
        <v>23</v>
      </c>
    </row>
    <row r="276" spans="1:17" ht="12.3">
      <c r="A276" s="80"/>
      <c r="B276" s="36"/>
      <c r="C276" s="36"/>
      <c r="D276" s="38" t="s">
        <v>969</v>
      </c>
      <c r="E276" s="36"/>
      <c r="F276" s="36"/>
      <c r="G276" s="36"/>
      <c r="H276" s="36"/>
      <c r="I276" s="36"/>
      <c r="J276" s="36"/>
      <c r="K276" s="4">
        <v>0</v>
      </c>
      <c r="L276" s="5">
        <v>0</v>
      </c>
      <c r="M276" s="5">
        <v>0</v>
      </c>
      <c r="N276" s="39">
        <f>LOG(K276+([2]Values!$D$8*L276)+([2]Values!$D$9*M276)+(O276*[2]Values!D$10)+(P276*[2]Values!$D$11)+1)</f>
        <v>3.9842071266415419E-3</v>
      </c>
      <c r="O276" s="40">
        <v>1</v>
      </c>
      <c r="P276" s="40">
        <v>0</v>
      </c>
      <c r="Q276" s="41" t="s">
        <v>23</v>
      </c>
    </row>
    <row r="277" spans="1:17" ht="12.3">
      <c r="A277" s="80">
        <v>43781</v>
      </c>
      <c r="B277" s="36" t="s">
        <v>404</v>
      </c>
      <c r="C277" s="36" t="s">
        <v>973</v>
      </c>
      <c r="D277" s="38" t="s">
        <v>974</v>
      </c>
      <c r="E277" s="36" t="s">
        <v>19</v>
      </c>
      <c r="F277" s="36" t="s">
        <v>20</v>
      </c>
      <c r="G277" s="36"/>
      <c r="H277" s="36" t="s">
        <v>134</v>
      </c>
      <c r="I277" s="36" t="s">
        <v>975</v>
      </c>
      <c r="J277" s="36" t="s">
        <v>976</v>
      </c>
      <c r="K277" s="4">
        <v>0</v>
      </c>
      <c r="L277" s="5">
        <v>0</v>
      </c>
      <c r="M277" s="5">
        <v>0</v>
      </c>
      <c r="N277" s="39">
        <f>LOG(K277+([2]Values!$D$8*L277)+([2]Values!$D$9*M277)+(O277*[2]Values!D$10)+(P277*[2]Values!$D$11)+1)</f>
        <v>1.1844616960551136E-2</v>
      </c>
      <c r="O277" s="40">
        <v>3</v>
      </c>
      <c r="P277" s="40">
        <v>0</v>
      </c>
      <c r="Q277" s="41" t="s">
        <v>23</v>
      </c>
    </row>
    <row r="278" spans="1:17" ht="12.3">
      <c r="A278" s="80">
        <v>43781</v>
      </c>
      <c r="B278" s="36" t="s">
        <v>226</v>
      </c>
      <c r="C278" s="36" t="s">
        <v>977</v>
      </c>
      <c r="D278" s="38" t="s">
        <v>978</v>
      </c>
      <c r="E278" s="36" t="s">
        <v>19</v>
      </c>
      <c r="F278" s="36" t="s">
        <v>20</v>
      </c>
      <c r="G278" s="36"/>
      <c r="H278" s="36" t="s">
        <v>134</v>
      </c>
      <c r="I278" s="36" t="s">
        <v>979</v>
      </c>
      <c r="J278" s="36" t="s">
        <v>980</v>
      </c>
      <c r="K278" s="4">
        <v>0</v>
      </c>
      <c r="L278" s="5">
        <v>0</v>
      </c>
      <c r="M278" s="5">
        <v>0</v>
      </c>
      <c r="N278" s="39">
        <f>LOG(K278+([2]Values!$D$8*L278)+([2]Values!$D$9*M278)+(O278*[2]Values!D$10)+(P278*[2]Values!$D$11)+1)</f>
        <v>0.13629158730159477</v>
      </c>
      <c r="O278" s="40">
        <v>40</v>
      </c>
      <c r="P278" s="40">
        <v>0</v>
      </c>
      <c r="Q278" s="41" t="s">
        <v>23</v>
      </c>
    </row>
    <row r="279" spans="1:17" ht="12.3">
      <c r="A279" s="80">
        <v>43782</v>
      </c>
      <c r="B279" s="36" t="s">
        <v>44</v>
      </c>
      <c r="C279" s="36" t="s">
        <v>706</v>
      </c>
      <c r="D279" s="38" t="s">
        <v>981</v>
      </c>
      <c r="E279" s="36" t="s">
        <v>380</v>
      </c>
      <c r="F279" s="36"/>
      <c r="G279" s="36"/>
      <c r="H279" s="36"/>
      <c r="I279" s="36" t="s">
        <v>204</v>
      </c>
      <c r="J279" s="36" t="s">
        <v>982</v>
      </c>
      <c r="K279" s="4">
        <v>0</v>
      </c>
      <c r="L279" s="5">
        <v>0</v>
      </c>
      <c r="M279" s="5">
        <v>0</v>
      </c>
      <c r="N279" s="39">
        <f>LOG(K279+([2]Values!$D$8*L279)+([2]Values!$D$9*M279)+(O279*[2]Values!D$10)+(P279*[2]Values!$D$11)+1)</f>
        <v>4.5555412801080684E-2</v>
      </c>
      <c r="O279" s="40">
        <v>12</v>
      </c>
      <c r="P279" s="40">
        <v>0</v>
      </c>
      <c r="Q279" s="41" t="s">
        <v>23</v>
      </c>
    </row>
    <row r="280" spans="1:17" ht="12.3">
      <c r="A280" s="80">
        <v>43783</v>
      </c>
      <c r="B280" s="36" t="s">
        <v>44</v>
      </c>
      <c r="C280" s="36" t="s">
        <v>983</v>
      </c>
      <c r="D280" s="38" t="s">
        <v>984</v>
      </c>
      <c r="E280" s="36" t="s">
        <v>19</v>
      </c>
      <c r="F280" s="36" t="s">
        <v>20</v>
      </c>
      <c r="G280" s="36">
        <v>10</v>
      </c>
      <c r="H280" s="36"/>
      <c r="I280" s="36" t="s">
        <v>985</v>
      </c>
      <c r="J280" s="36" t="s">
        <v>986</v>
      </c>
      <c r="K280" s="4">
        <v>0</v>
      </c>
      <c r="L280" s="5">
        <v>0</v>
      </c>
      <c r="M280" s="5">
        <v>0</v>
      </c>
      <c r="N280" s="39">
        <f>LOG(K280+([2]Values!$D$8*L280)+([2]Values!$D$9*M280)+(O280*[2]Values!D$10)+(P280*[2]Values!$D$11)+1)</f>
        <v>0.42016457121485945</v>
      </c>
      <c r="O280" s="40">
        <v>177</v>
      </c>
      <c r="P280" s="40">
        <v>0</v>
      </c>
      <c r="Q280" s="41" t="s">
        <v>23</v>
      </c>
    </row>
    <row r="281" spans="1:17" ht="12.3">
      <c r="A281" s="79">
        <v>43783</v>
      </c>
      <c r="B281" s="45" t="s">
        <v>44</v>
      </c>
      <c r="C281" s="45" t="s">
        <v>987</v>
      </c>
      <c r="D281" s="46" t="s">
        <v>988</v>
      </c>
      <c r="E281" s="45" t="s">
        <v>19</v>
      </c>
      <c r="F281" s="45" t="s">
        <v>20</v>
      </c>
      <c r="G281" s="45">
        <v>27</v>
      </c>
      <c r="H281" s="45" t="s">
        <v>35</v>
      </c>
      <c r="I281" s="45" t="s">
        <v>989</v>
      </c>
      <c r="J281" s="45" t="s">
        <v>990</v>
      </c>
      <c r="K281" s="4">
        <v>1</v>
      </c>
      <c r="L281" s="47">
        <v>3</v>
      </c>
      <c r="M281" s="47"/>
      <c r="N281" s="48">
        <f>LOG(K281+([2]Values!$D$8*L281)+([2]Values!$D$9*M281)+(O281*[2]Values!D$10)+(P281*[2]Values!$D$11)+1)</f>
        <v>0.49025506706505517</v>
      </c>
      <c r="O281" s="45">
        <v>36</v>
      </c>
      <c r="P281" s="45">
        <v>0</v>
      </c>
      <c r="Q281" s="49" t="s">
        <v>144</v>
      </c>
    </row>
    <row r="282" spans="1:17" ht="12.3">
      <c r="A282" s="80">
        <v>43784</v>
      </c>
      <c r="B282" s="36" t="s">
        <v>44</v>
      </c>
      <c r="C282" s="36" t="s">
        <v>162</v>
      </c>
      <c r="D282" s="38" t="s">
        <v>894</v>
      </c>
      <c r="E282" s="36" t="s">
        <v>206</v>
      </c>
      <c r="F282" s="36" t="s">
        <v>20</v>
      </c>
      <c r="G282" s="36"/>
      <c r="H282" s="36"/>
      <c r="I282" s="36" t="s">
        <v>966</v>
      </c>
      <c r="J282" s="36" t="s">
        <v>967</v>
      </c>
      <c r="K282" s="4">
        <v>0</v>
      </c>
      <c r="L282" s="5">
        <v>0</v>
      </c>
      <c r="M282" s="5"/>
      <c r="N282" s="39">
        <f>LOG(K282+([2]Values!$D$8*L282)+([2]Values!$D$9*M282)+(O282*[2]Values!D$10)+(P282*[2]Values!$D$11)+1)</f>
        <v>5.6234907072035586E-2</v>
      </c>
      <c r="O282" s="42">
        <v>15</v>
      </c>
      <c r="P282" s="40">
        <v>0</v>
      </c>
      <c r="Q282" s="41" t="s">
        <v>23</v>
      </c>
    </row>
    <row r="283" spans="1:17" ht="12.3">
      <c r="A283" s="80">
        <v>43786</v>
      </c>
      <c r="B283" s="36" t="s">
        <v>991</v>
      </c>
      <c r="C283" s="36" t="s">
        <v>992</v>
      </c>
      <c r="D283" s="38" t="s">
        <v>877</v>
      </c>
      <c r="E283" s="36" t="s">
        <v>19</v>
      </c>
      <c r="F283" s="36" t="s">
        <v>20</v>
      </c>
      <c r="G283" s="36"/>
      <c r="H283" s="36"/>
      <c r="I283" s="36" t="s">
        <v>993</v>
      </c>
      <c r="J283" s="36" t="s">
        <v>994</v>
      </c>
      <c r="K283" s="4">
        <v>0</v>
      </c>
      <c r="L283" s="5">
        <v>0</v>
      </c>
      <c r="M283" s="5">
        <v>0</v>
      </c>
      <c r="N283" s="39">
        <f>LOG(K283+([2]Values!$D$8*L283)+([2]Values!$D$9*M283)+(O283*[2]Values!D$10)+(P283*[2]Values!$D$11)+1)</f>
        <v>3.8287005558778897E-2</v>
      </c>
      <c r="O283" s="42">
        <v>10</v>
      </c>
      <c r="P283" s="40">
        <v>0</v>
      </c>
      <c r="Q283" s="41" t="s">
        <v>23</v>
      </c>
    </row>
    <row r="284" spans="1:17" ht="12.3">
      <c r="A284" s="80">
        <v>43787</v>
      </c>
      <c r="B284" s="36" t="s">
        <v>24</v>
      </c>
      <c r="C284" s="36" t="s">
        <v>25</v>
      </c>
      <c r="D284" s="38" t="s">
        <v>851</v>
      </c>
      <c r="E284" s="36" t="s">
        <v>19</v>
      </c>
      <c r="F284" s="36" t="s">
        <v>20</v>
      </c>
      <c r="G284" s="36"/>
      <c r="H284" s="36"/>
      <c r="I284" s="67">
        <v>43639</v>
      </c>
      <c r="J284" s="36" t="s">
        <v>995</v>
      </c>
      <c r="K284" s="4">
        <v>0</v>
      </c>
      <c r="L284" s="5">
        <v>0</v>
      </c>
      <c r="M284" s="5">
        <v>0</v>
      </c>
      <c r="N284" s="39">
        <f>LOG(K284+([2]Values!$D$8*L284)+([2]Values!$D$9*M284)+(O284*[2]Values!D$10)+(P284*[2]Values!$D$11)+1)</f>
        <v>5.6234907072035586E-2</v>
      </c>
      <c r="O284" s="42">
        <v>15</v>
      </c>
      <c r="P284" s="40">
        <v>0</v>
      </c>
      <c r="Q284" s="41" t="s">
        <v>23</v>
      </c>
    </row>
    <row r="285" spans="1:17" ht="12.3">
      <c r="A285" s="80">
        <v>43787</v>
      </c>
      <c r="B285" s="36" t="s">
        <v>62</v>
      </c>
      <c r="C285" s="36" t="s">
        <v>996</v>
      </c>
      <c r="D285" s="50" t="s">
        <v>580</v>
      </c>
      <c r="E285" s="36" t="s">
        <v>19</v>
      </c>
      <c r="F285" s="36" t="s">
        <v>20</v>
      </c>
      <c r="G285" s="36">
        <v>5</v>
      </c>
      <c r="H285" s="36" t="s">
        <v>123</v>
      </c>
      <c r="I285" s="36" t="s">
        <v>997</v>
      </c>
      <c r="J285" s="36" t="s">
        <v>998</v>
      </c>
      <c r="K285" s="4">
        <v>0</v>
      </c>
      <c r="L285" s="5">
        <v>16</v>
      </c>
      <c r="M285" s="5">
        <v>744</v>
      </c>
      <c r="N285" s="39">
        <f>LOG(K285+([2]Values!$D$8*L285)+([2]Values!$D$9*M285)+(O285*[2]Values!D$10)+(P285*[2]Values!$D$11)+1)</f>
        <v>1.5649003996822888</v>
      </c>
      <c r="O285" s="40">
        <v>416</v>
      </c>
      <c r="P285" s="40">
        <v>459</v>
      </c>
      <c r="Q285" s="41" t="s">
        <v>23</v>
      </c>
    </row>
    <row r="286" spans="1:17" ht="12.3">
      <c r="A286" s="80">
        <v>43788</v>
      </c>
      <c r="B286" s="36" t="s">
        <v>17</v>
      </c>
      <c r="C286" s="36" t="s">
        <v>145</v>
      </c>
      <c r="D286" s="38" t="s">
        <v>535</v>
      </c>
      <c r="E286" s="36" t="s">
        <v>19</v>
      </c>
      <c r="F286" s="36" t="s">
        <v>20</v>
      </c>
      <c r="G286" s="36"/>
      <c r="H286" s="36"/>
      <c r="I286" s="36" t="s">
        <v>999</v>
      </c>
      <c r="J286" s="36" t="s">
        <v>1000</v>
      </c>
      <c r="K286" s="4">
        <v>0</v>
      </c>
      <c r="L286" s="5">
        <v>0</v>
      </c>
      <c r="M286" s="5">
        <v>0</v>
      </c>
      <c r="N286" s="39">
        <f>LOG(K286+([2]Values!$D$8*L286)+([2]Values!$D$9*M286)+(O286*[2]Values!D$10)+(P286*[2]Values!$D$11)+1)</f>
        <v>1.9565284656210144E-2</v>
      </c>
      <c r="O286" s="42">
        <v>5</v>
      </c>
      <c r="P286" s="40">
        <v>0</v>
      </c>
      <c r="Q286" s="41" t="s">
        <v>23</v>
      </c>
    </row>
    <row r="287" spans="1:17" ht="12.3">
      <c r="A287" s="80">
        <v>43788</v>
      </c>
      <c r="B287" s="36" t="s">
        <v>1001</v>
      </c>
      <c r="C287" s="36" t="s">
        <v>1002</v>
      </c>
      <c r="D287" s="38" t="s">
        <v>872</v>
      </c>
      <c r="E287" s="36" t="s">
        <v>19</v>
      </c>
      <c r="F287" s="36" t="s">
        <v>20</v>
      </c>
      <c r="G287" s="36">
        <v>12</v>
      </c>
      <c r="H287" s="36"/>
      <c r="I287" s="36" t="s">
        <v>1003</v>
      </c>
      <c r="J287" s="36" t="s">
        <v>1004</v>
      </c>
      <c r="K287" s="4">
        <v>0</v>
      </c>
      <c r="L287" s="5">
        <v>0</v>
      </c>
      <c r="M287" s="5">
        <v>4</v>
      </c>
      <c r="N287" s="39">
        <f>LOG(K287+([2]Values!$D$8*L287)+([2]Values!$D$9*M287)+(O287*[2]Values!D$10)+(P287*[2]Values!$D$11)+1)</f>
        <v>0.13046541553388116</v>
      </c>
      <c r="O287" s="42">
        <v>20</v>
      </c>
      <c r="P287" s="40">
        <v>3</v>
      </c>
      <c r="Q287" s="41" t="s">
        <v>23</v>
      </c>
    </row>
    <row r="288" spans="1:17" ht="12.3">
      <c r="A288" s="80">
        <v>43789</v>
      </c>
      <c r="B288" s="36" t="s">
        <v>726</v>
      </c>
      <c r="C288" s="36" t="s">
        <v>1005</v>
      </c>
      <c r="D288" s="38" t="s">
        <v>814</v>
      </c>
      <c r="E288" s="36" t="s">
        <v>19</v>
      </c>
      <c r="F288" s="36" t="s">
        <v>1006</v>
      </c>
      <c r="G288" s="36">
        <v>5</v>
      </c>
      <c r="H288" s="36" t="s">
        <v>684</v>
      </c>
      <c r="I288" s="36" t="s">
        <v>1007</v>
      </c>
      <c r="J288" s="36" t="s">
        <v>1008</v>
      </c>
      <c r="K288" s="4">
        <v>0</v>
      </c>
      <c r="L288" s="5">
        <v>0</v>
      </c>
      <c r="M288" s="5">
        <v>0</v>
      </c>
      <c r="N288" s="39">
        <f>LOG(K288+([2]Values!$D$8*L288)+([2]Values!$D$9*M288)+(O288*[2]Values!D$10)+(P288*[2]Values!$D$11)+1)</f>
        <v>1.1844616960551136E-2</v>
      </c>
      <c r="O288" s="40">
        <v>3</v>
      </c>
      <c r="P288" s="40">
        <v>0</v>
      </c>
      <c r="Q288" s="41" t="s">
        <v>23</v>
      </c>
    </row>
    <row r="289" spans="1:17" ht="12.3">
      <c r="A289" s="80">
        <v>43789</v>
      </c>
      <c r="B289" s="36" t="s">
        <v>726</v>
      </c>
      <c r="C289" s="36" t="s">
        <v>1005</v>
      </c>
      <c r="D289" s="38" t="s">
        <v>1009</v>
      </c>
      <c r="E289" s="36" t="s">
        <v>19</v>
      </c>
      <c r="F289" s="36" t="s">
        <v>1006</v>
      </c>
      <c r="G289" s="36">
        <v>5</v>
      </c>
      <c r="H289" s="36" t="s">
        <v>684</v>
      </c>
      <c r="I289" s="36" t="s">
        <v>1007</v>
      </c>
      <c r="J289" s="36" t="s">
        <v>1008</v>
      </c>
      <c r="K289" s="4">
        <v>0</v>
      </c>
      <c r="L289" s="5">
        <v>0</v>
      </c>
      <c r="M289" s="5">
        <v>0</v>
      </c>
      <c r="N289" s="39">
        <f>LOG(K289+([2]Values!$D$8*L289)+([2]Values!$D$9*M289)+(O289*[2]Values!D$10)+(P289*[2]Values!$D$11)+1)</f>
        <v>1.9565284656210144E-2</v>
      </c>
      <c r="O289" s="40">
        <v>5</v>
      </c>
      <c r="P289" s="40">
        <v>0</v>
      </c>
      <c r="Q289" s="41" t="s">
        <v>23</v>
      </c>
    </row>
    <row r="290" spans="1:17" ht="12.3">
      <c r="A290" s="80">
        <v>43789</v>
      </c>
      <c r="B290" s="36" t="s">
        <v>334</v>
      </c>
      <c r="C290" s="36" t="s">
        <v>1010</v>
      </c>
      <c r="D290" s="50" t="s">
        <v>829</v>
      </c>
      <c r="E290" s="36" t="s">
        <v>19</v>
      </c>
      <c r="F290" s="36" t="s">
        <v>20</v>
      </c>
      <c r="G290" s="36"/>
      <c r="H290" s="36" t="s">
        <v>123</v>
      </c>
      <c r="I290" s="36" t="s">
        <v>1011</v>
      </c>
      <c r="J290" s="36" t="s">
        <v>1012</v>
      </c>
      <c r="K290" s="4">
        <f>SUM(K291:K292)</f>
        <v>0</v>
      </c>
      <c r="L290" s="5">
        <f t="shared" ref="L290:M290" si="9">SUM(L291,L292)</f>
        <v>10</v>
      </c>
      <c r="M290" s="5">
        <f t="shared" si="9"/>
        <v>125</v>
      </c>
      <c r="N290" s="39">
        <f>LOG(K290+([2]Values!$D$8*L290)+([2]Values!$D$9*M290)+(O290*[2]Values!D$10)+(P290*[2]Values!$D$11)+1)</f>
        <v>1.0613390431128211</v>
      </c>
      <c r="O290" s="40">
        <f t="shared" ref="O290:P290" si="10">SUM(O291,O292)</f>
        <v>537</v>
      </c>
      <c r="P290" s="40">
        <f t="shared" si="10"/>
        <v>24</v>
      </c>
      <c r="Q290" s="41" t="s">
        <v>23</v>
      </c>
    </row>
    <row r="291" spans="1:17" ht="12.3">
      <c r="A291" s="80"/>
      <c r="B291" s="36"/>
      <c r="C291" s="36"/>
      <c r="D291" s="50" t="s">
        <v>829</v>
      </c>
      <c r="E291" s="36"/>
      <c r="F291" s="36"/>
      <c r="G291" s="36"/>
      <c r="H291" s="36"/>
      <c r="I291" s="36"/>
      <c r="J291" s="36"/>
      <c r="K291" s="4">
        <v>0</v>
      </c>
      <c r="L291" s="5">
        <v>10</v>
      </c>
      <c r="M291" s="5">
        <v>125</v>
      </c>
      <c r="N291" s="39">
        <f>LOG(K291+([2]Values!$D$8*L291)+([2]Values!$D$9*M291)+(O291*[2]Values!D$10)+(P291*[2]Values!$D$11)+1)</f>
        <v>0.96483270656099263</v>
      </c>
      <c r="O291" s="40">
        <v>288</v>
      </c>
      <c r="P291" s="40">
        <v>24</v>
      </c>
      <c r="Q291" s="41" t="s">
        <v>23</v>
      </c>
    </row>
    <row r="292" spans="1:17" ht="12.3">
      <c r="A292" s="36"/>
      <c r="B292" s="36"/>
      <c r="C292" s="36"/>
      <c r="D292" s="50" t="s">
        <v>829</v>
      </c>
      <c r="E292" s="36"/>
      <c r="F292" s="36"/>
      <c r="G292" s="36"/>
      <c r="H292" s="36"/>
      <c r="I292" s="36"/>
      <c r="J292" s="36"/>
      <c r="K292" s="4">
        <v>0</v>
      </c>
      <c r="L292" s="5">
        <v>0</v>
      </c>
      <c r="M292" s="5"/>
      <c r="N292" s="39">
        <f>LOG(K292+([2]Values!$D$8*L292)+([2]Values!$D$9*M292)+(O292*[2]Values!D$10)+(P292*[2]Values!$D$11)+1)</f>
        <v>0.51783304757173454</v>
      </c>
      <c r="O292" s="40">
        <v>249</v>
      </c>
      <c r="P292" s="40">
        <v>0</v>
      </c>
      <c r="Q292" s="41" t="s">
        <v>23</v>
      </c>
    </row>
    <row r="293" spans="1:17" ht="12.3">
      <c r="A293" s="80">
        <v>43793</v>
      </c>
      <c r="B293" s="36" t="s">
        <v>83</v>
      </c>
      <c r="C293" s="36" t="s">
        <v>323</v>
      </c>
      <c r="D293" s="38" t="s">
        <v>944</v>
      </c>
      <c r="E293" s="36" t="s">
        <v>19</v>
      </c>
      <c r="F293" s="36" t="s">
        <v>20</v>
      </c>
      <c r="G293" s="36"/>
      <c r="H293" s="36"/>
      <c r="I293" s="36" t="s">
        <v>1013</v>
      </c>
      <c r="J293" s="36" t="s">
        <v>1014</v>
      </c>
      <c r="K293" s="4">
        <v>0</v>
      </c>
      <c r="L293" s="5">
        <v>0</v>
      </c>
      <c r="M293" s="5">
        <v>0</v>
      </c>
      <c r="N293" s="39">
        <f>LOG(K293+([2]Values!$D$8*L293)+([2]Values!$D$9*M293)+(O293*[2]Values!D$10)+(P293*[2]Values!$D$11)+1)</f>
        <v>1.9565284656210144E-2</v>
      </c>
      <c r="O293" s="42">
        <v>5</v>
      </c>
      <c r="P293" s="40">
        <v>0</v>
      </c>
      <c r="Q293" s="41" t="s">
        <v>23</v>
      </c>
    </row>
    <row r="294" spans="1:17" ht="12.3">
      <c r="A294" s="79">
        <v>43794</v>
      </c>
      <c r="B294" s="45" t="s">
        <v>83</v>
      </c>
      <c r="C294" s="45" t="s">
        <v>891</v>
      </c>
      <c r="D294" s="46" t="s">
        <v>984</v>
      </c>
      <c r="E294" s="45" t="s">
        <v>19</v>
      </c>
      <c r="F294" s="45" t="s">
        <v>20</v>
      </c>
      <c r="G294" s="45"/>
      <c r="H294" s="45"/>
      <c r="I294" s="45" t="s">
        <v>1015</v>
      </c>
      <c r="J294" s="45" t="s">
        <v>1016</v>
      </c>
      <c r="K294" s="4">
        <f t="shared" ref="K294:M294" si="11">SUM(K295:K296)</f>
        <v>1</v>
      </c>
      <c r="L294" s="47">
        <f t="shared" si="11"/>
        <v>5</v>
      </c>
      <c r="M294" s="47">
        <f t="shared" si="11"/>
        <v>1119</v>
      </c>
      <c r="N294" s="48">
        <f>LOG(K294+([2]Values!$D$8*L294)+([2]Values!$D$9*M294)+(O294*[2]Values!D$10)+(P294*[2]Values!$D$11)+1)</f>
        <v>1.5402846408362429</v>
      </c>
      <c r="O294" s="45">
        <f t="shared" ref="O294:P294" si="12">SUM(O295:O296)</f>
        <v>1104</v>
      </c>
      <c r="P294" s="45">
        <f t="shared" si="12"/>
        <v>24</v>
      </c>
      <c r="Q294" s="49" t="s">
        <v>23</v>
      </c>
    </row>
    <row r="295" spans="1:17" ht="12.3">
      <c r="A295" s="45"/>
      <c r="B295" s="45"/>
      <c r="C295" s="45"/>
      <c r="D295" s="46" t="s">
        <v>984</v>
      </c>
      <c r="E295" s="45"/>
      <c r="F295" s="45"/>
      <c r="G295" s="45"/>
      <c r="H295" s="45"/>
      <c r="I295" s="45"/>
      <c r="J295" s="45"/>
      <c r="K295" s="4">
        <v>0</v>
      </c>
      <c r="L295" s="47">
        <v>0</v>
      </c>
      <c r="M295" s="47">
        <v>0</v>
      </c>
      <c r="N295" s="48">
        <f>LOG(K295+([2]Values!$D$8*L295)+([2]Values!$D$9*M295)+(O295*[2]Values!D$10)+(P295*[2]Values!$D$11)+1)</f>
        <v>3.8287005558778897E-2</v>
      </c>
      <c r="O295" s="62">
        <v>10</v>
      </c>
      <c r="P295" s="45"/>
      <c r="Q295" s="49" t="s">
        <v>23</v>
      </c>
    </row>
    <row r="296" spans="1:17" ht="12.3">
      <c r="A296" s="45"/>
      <c r="B296" s="45"/>
      <c r="C296" s="45"/>
      <c r="D296" s="46" t="s">
        <v>984</v>
      </c>
      <c r="E296" s="45"/>
      <c r="F296" s="45"/>
      <c r="G296" s="45"/>
      <c r="H296" s="45"/>
      <c r="I296" s="45"/>
      <c r="J296" s="45"/>
      <c r="K296" s="4">
        <v>1</v>
      </c>
      <c r="L296" s="47">
        <v>5</v>
      </c>
      <c r="M296" s="47">
        <v>1119</v>
      </c>
      <c r="N296" s="48">
        <f>LOG(K296+([2]Values!$D$8*L296)+([2]Values!$D$9*M296)+(O296*[2]Values!D$10)+(P296*[2]Values!$D$11)+1)</f>
        <v>1.5391295175810136</v>
      </c>
      <c r="O296" s="45">
        <v>1094</v>
      </c>
      <c r="P296" s="45">
        <v>24</v>
      </c>
      <c r="Q296" s="49" t="s">
        <v>23</v>
      </c>
    </row>
    <row r="297" spans="1:17" ht="12.3">
      <c r="A297" s="80">
        <v>43794</v>
      </c>
      <c r="B297" s="36" t="s">
        <v>44</v>
      </c>
      <c r="C297" s="36" t="s">
        <v>162</v>
      </c>
      <c r="D297" s="38" t="s">
        <v>535</v>
      </c>
      <c r="E297" s="36" t="s">
        <v>206</v>
      </c>
      <c r="F297" s="36" t="s">
        <v>20</v>
      </c>
      <c r="G297" s="36"/>
      <c r="H297" s="36"/>
      <c r="I297" s="36" t="s">
        <v>1018</v>
      </c>
      <c r="J297" s="36" t="s">
        <v>1019</v>
      </c>
      <c r="K297" s="4">
        <v>0</v>
      </c>
      <c r="L297" s="5">
        <v>1</v>
      </c>
      <c r="M297" s="5"/>
      <c r="N297" s="39">
        <f>LOG(K297+([2]Values!$D$8*L297)+([2]Values!$D$9*M297)+(O297*[2]Values!D$10)+(P297*[2]Values!$D$11)+1)</f>
        <v>0.10128605637553199</v>
      </c>
      <c r="O297" s="40">
        <v>1</v>
      </c>
      <c r="P297" s="40"/>
      <c r="Q297" s="41" t="s">
        <v>23</v>
      </c>
    </row>
    <row r="298" spans="1:17" ht="12.3">
      <c r="A298" s="79">
        <v>43795</v>
      </c>
      <c r="B298" s="45" t="s">
        <v>292</v>
      </c>
      <c r="C298" s="45" t="s">
        <v>832</v>
      </c>
      <c r="D298" s="46" t="s">
        <v>1020</v>
      </c>
      <c r="E298" s="45" t="s">
        <v>19</v>
      </c>
      <c r="F298" s="45" t="s">
        <v>20</v>
      </c>
      <c r="G298" s="45"/>
      <c r="H298" s="45" t="s">
        <v>363</v>
      </c>
      <c r="I298" s="45" t="s">
        <v>1021</v>
      </c>
      <c r="J298" s="45" t="s">
        <v>1022</v>
      </c>
      <c r="K298" s="4">
        <v>52</v>
      </c>
      <c r="L298" s="47">
        <v>3000</v>
      </c>
      <c r="M298" s="47">
        <v>32000</v>
      </c>
      <c r="N298" s="48">
        <f>LOG(K298+([2]Values!$D$8*L298)+([2]Values!$D$9*M298)+(O298*[2]Values!D$10)+(P298*[2]Values!$D$11)+1)</f>
        <v>3.4026065069207183</v>
      </c>
      <c r="O298" s="45">
        <v>83745</v>
      </c>
      <c r="P298" s="45">
        <v>11490</v>
      </c>
      <c r="Q298" s="41" t="s">
        <v>23</v>
      </c>
    </row>
    <row r="299" spans="1:17" ht="12.3">
      <c r="A299" s="79"/>
      <c r="B299" s="45"/>
      <c r="C299" s="45"/>
      <c r="D299" s="46" t="s">
        <v>1020</v>
      </c>
      <c r="E299" s="45"/>
      <c r="F299" s="45"/>
      <c r="G299" s="45"/>
      <c r="H299" s="45"/>
      <c r="I299" s="45"/>
      <c r="J299" s="45"/>
      <c r="K299" s="4">
        <v>0</v>
      </c>
      <c r="L299" s="47">
        <v>0</v>
      </c>
      <c r="M299" s="47">
        <v>0</v>
      </c>
      <c r="N299" s="48">
        <f>LOG(K299+([2]Values!$D$8*L299)+([2]Values!$D$9*M299)+(O299*[2]Values!D$10)+(P299*[2]Values!$D$11)+1)</f>
        <v>3.9842071266415419E-3</v>
      </c>
      <c r="O299" s="45">
        <v>1</v>
      </c>
      <c r="P299" s="45">
        <v>0</v>
      </c>
      <c r="Q299" s="41" t="s">
        <v>23</v>
      </c>
    </row>
    <row r="300" spans="1:17" ht="12.3">
      <c r="A300" s="80">
        <v>43795</v>
      </c>
      <c r="B300" s="36" t="s">
        <v>793</v>
      </c>
      <c r="C300" s="36" t="s">
        <v>1024</v>
      </c>
      <c r="D300" s="38" t="s">
        <v>965</v>
      </c>
      <c r="E300" s="36" t="s">
        <v>19</v>
      </c>
      <c r="F300" s="36" t="s">
        <v>20</v>
      </c>
      <c r="G300" s="36">
        <v>9</v>
      </c>
      <c r="H300" s="36" t="s">
        <v>123</v>
      </c>
      <c r="I300" s="36" t="s">
        <v>1025</v>
      </c>
      <c r="J300" s="36" t="s">
        <v>1026</v>
      </c>
      <c r="K300" s="4">
        <v>0</v>
      </c>
      <c r="L300" s="5">
        <v>2</v>
      </c>
      <c r="M300" s="5"/>
      <c r="N300" s="39">
        <f>LOG(K300+([2]Values!$D$8*L300)+([2]Values!$D$9*M300)+(O300*[2]Values!D$10)+(P300*[2]Values!$D$11)+1)</f>
        <v>0.46902785472302994</v>
      </c>
      <c r="O300" s="40">
        <v>156</v>
      </c>
      <c r="P300" s="40">
        <v>0</v>
      </c>
      <c r="Q300" s="41" t="s">
        <v>23</v>
      </c>
    </row>
    <row r="301" spans="1:17" ht="12.3">
      <c r="A301" s="36"/>
      <c r="B301" s="36"/>
      <c r="C301" s="36"/>
      <c r="D301" s="38" t="s">
        <v>965</v>
      </c>
      <c r="E301" s="36"/>
      <c r="F301" s="36"/>
      <c r="G301" s="36"/>
      <c r="H301" s="36"/>
      <c r="I301" s="36"/>
      <c r="J301" s="36"/>
      <c r="K301" s="4">
        <v>0</v>
      </c>
      <c r="L301" s="5">
        <v>0</v>
      </c>
      <c r="M301" s="5">
        <v>0</v>
      </c>
      <c r="N301" s="39">
        <f>LOG(K301+([2]Values!$D$8*L301)+([2]Values!$D$9*M301)+(O301*[2]Values!D$10)+(P301*[2]Values!$D$11)+1)</f>
        <v>3.9842071266415419E-3</v>
      </c>
      <c r="O301" s="40">
        <v>1</v>
      </c>
      <c r="P301" s="40">
        <v>0</v>
      </c>
      <c r="Q301" s="41" t="s">
        <v>23</v>
      </c>
    </row>
    <row r="302" spans="1:17" ht="12.3">
      <c r="A302" s="80">
        <v>43796</v>
      </c>
      <c r="B302" s="36" t="s">
        <v>156</v>
      </c>
      <c r="C302" s="36" t="s">
        <v>1027</v>
      </c>
      <c r="D302" s="50" t="s">
        <v>829</v>
      </c>
      <c r="E302" s="36" t="s">
        <v>19</v>
      </c>
      <c r="F302" s="36" t="s">
        <v>20</v>
      </c>
      <c r="G302" s="36">
        <v>71</v>
      </c>
      <c r="H302" s="36" t="s">
        <v>35</v>
      </c>
      <c r="I302" s="36" t="s">
        <v>1028</v>
      </c>
      <c r="J302" s="59">
        <v>43731</v>
      </c>
      <c r="K302" s="4">
        <v>0</v>
      </c>
      <c r="L302" s="5">
        <v>0</v>
      </c>
      <c r="M302" s="5">
        <v>0</v>
      </c>
      <c r="N302" s="39">
        <f>LOG(K302+([2]Values!$D$8*L302)+([2]Values!$D$9*M302)+(O302*[2]Values!D$10)+(P302*[2]Values!$D$11)+1)</f>
        <v>1.1844616960551136E-2</v>
      </c>
      <c r="O302" s="40">
        <v>3</v>
      </c>
      <c r="P302" s="40">
        <v>0</v>
      </c>
      <c r="Q302" s="41" t="s">
        <v>23</v>
      </c>
    </row>
    <row r="303" spans="1:17" ht="12.3">
      <c r="A303" s="80">
        <v>43796</v>
      </c>
      <c r="B303" s="36" t="s">
        <v>83</v>
      </c>
      <c r="C303" s="36" t="s">
        <v>891</v>
      </c>
      <c r="D303" s="38" t="s">
        <v>944</v>
      </c>
      <c r="E303" s="36" t="s">
        <v>206</v>
      </c>
      <c r="F303" s="36" t="s">
        <v>20</v>
      </c>
      <c r="G303" s="36"/>
      <c r="H303" s="36"/>
      <c r="I303" s="36" t="s">
        <v>1015</v>
      </c>
      <c r="J303" s="36" t="s">
        <v>1016</v>
      </c>
      <c r="K303" s="4">
        <v>0</v>
      </c>
      <c r="L303" s="5">
        <v>0</v>
      </c>
      <c r="M303" s="5">
        <v>0</v>
      </c>
      <c r="N303" s="39">
        <f>LOG(K303+([2]Values!$D$8*L303)+([2]Values!$D$9*M303)+(O303*[2]Values!D$10)+(P303*[2]Values!$D$11)+1)</f>
        <v>0.70293911972000278</v>
      </c>
      <c r="O303" s="40">
        <v>439</v>
      </c>
      <c r="P303" s="40"/>
      <c r="Q303" s="41" t="s">
        <v>23</v>
      </c>
    </row>
    <row r="304" spans="1:17" ht="12.3">
      <c r="A304" s="80">
        <v>43797</v>
      </c>
      <c r="B304" s="36" t="s">
        <v>226</v>
      </c>
      <c r="C304" s="36" t="s">
        <v>1029</v>
      </c>
      <c r="D304" s="38" t="s">
        <v>965</v>
      </c>
      <c r="E304" s="36" t="s">
        <v>19</v>
      </c>
      <c r="F304" s="36" t="s">
        <v>20</v>
      </c>
      <c r="G304" s="36"/>
      <c r="H304" s="36"/>
      <c r="I304" s="36" t="s">
        <v>1030</v>
      </c>
      <c r="J304" s="36" t="s">
        <v>1031</v>
      </c>
      <c r="K304" s="4">
        <v>0</v>
      </c>
      <c r="L304" s="5">
        <v>0</v>
      </c>
      <c r="M304" s="43">
        <v>50</v>
      </c>
      <c r="N304" s="39">
        <f>LOG(K304+([2]Values!$D$8*L304)+([2]Values!$D$9*M304)+(O304*[2]Values!D$10)+(P304*[2]Values!$D$11)+1)</f>
        <v>0.48036555678902254</v>
      </c>
      <c r="O304" s="42">
        <v>120</v>
      </c>
      <c r="P304" s="40"/>
      <c r="Q304" s="41" t="s">
        <v>23</v>
      </c>
    </row>
    <row r="305" spans="1:17" ht="12.3">
      <c r="A305" s="80">
        <v>43798</v>
      </c>
      <c r="B305" s="36" t="s">
        <v>24</v>
      </c>
      <c r="C305" s="36" t="s">
        <v>25</v>
      </c>
      <c r="D305" s="38" t="s">
        <v>1032</v>
      </c>
      <c r="E305" s="36" t="s">
        <v>19</v>
      </c>
      <c r="F305" s="36" t="s">
        <v>20</v>
      </c>
      <c r="G305" s="36"/>
      <c r="H305" s="36"/>
      <c r="I305" s="36" t="s">
        <v>1033</v>
      </c>
      <c r="J305" s="36" t="s">
        <v>1034</v>
      </c>
      <c r="K305" s="4">
        <v>0</v>
      </c>
      <c r="L305" s="5">
        <v>0</v>
      </c>
      <c r="M305" s="5">
        <v>0</v>
      </c>
      <c r="N305" s="39">
        <f>LOG(K305+([2]Values!$D$8*L305)+([2]Values!$D$9*M305)+(O305*[2]Values!D$10)+(P305*[2]Values!$D$11)+1)</f>
        <v>5.6234907072035586E-2</v>
      </c>
      <c r="O305" s="42">
        <v>15</v>
      </c>
      <c r="P305" s="40">
        <v>0</v>
      </c>
      <c r="Q305" s="41" t="s">
        <v>23</v>
      </c>
    </row>
    <row r="306" spans="1:17" ht="12.3">
      <c r="A306" s="80">
        <v>43798</v>
      </c>
      <c r="B306" s="36" t="s">
        <v>17</v>
      </c>
      <c r="C306" s="36" t="s">
        <v>425</v>
      </c>
      <c r="D306" s="38" t="s">
        <v>872</v>
      </c>
      <c r="E306" s="36" t="s">
        <v>19</v>
      </c>
      <c r="F306" s="36" t="s">
        <v>20</v>
      </c>
      <c r="G306" s="36">
        <v>13</v>
      </c>
      <c r="H306" s="36"/>
      <c r="I306" s="36" t="s">
        <v>1035</v>
      </c>
      <c r="J306" s="36" t="s">
        <v>1036</v>
      </c>
      <c r="K306" s="4">
        <v>0</v>
      </c>
      <c r="L306" s="5">
        <v>3</v>
      </c>
      <c r="M306" s="5">
        <v>0</v>
      </c>
      <c r="N306" s="39">
        <f>LOG(K306+([2]Values!$D$8*L306)+([2]Values!$D$9*M306)+(O306*[2]Values!D$10)+(P306*[2]Values!$D$11)+1)</f>
        <v>0.24786147243524556</v>
      </c>
      <c r="O306" s="40">
        <v>1</v>
      </c>
      <c r="P306" s="40">
        <v>0</v>
      </c>
      <c r="Q306" s="41" t="s">
        <v>23</v>
      </c>
    </row>
    <row r="307" spans="1:17" ht="12.3">
      <c r="A307" s="37">
        <v>43807</v>
      </c>
      <c r="B307" s="36" t="s">
        <v>29</v>
      </c>
      <c r="C307" s="36" t="s">
        <v>1037</v>
      </c>
      <c r="D307" s="38" t="s">
        <v>880</v>
      </c>
      <c r="E307" s="36" t="s">
        <v>19</v>
      </c>
      <c r="F307" s="36" t="s">
        <v>20</v>
      </c>
      <c r="G307" s="36">
        <v>3</v>
      </c>
      <c r="H307" s="36"/>
      <c r="I307" s="36" t="s">
        <v>1038</v>
      </c>
      <c r="J307" s="36" t="s">
        <v>1039</v>
      </c>
      <c r="K307" s="4">
        <v>0</v>
      </c>
      <c r="L307" s="5">
        <v>0</v>
      </c>
      <c r="M307" s="5">
        <v>0</v>
      </c>
      <c r="N307" s="39">
        <f>LOG(K307+([2]Values!$D$8*L307)+([2]Values!$D$9*M307)+(O307*[2]Values!D$10)+(P307*[2]Values!$D$11)+1)</f>
        <v>7.9321952534958575E-3</v>
      </c>
      <c r="O307" s="42">
        <v>2</v>
      </c>
      <c r="P307" s="40">
        <v>0</v>
      </c>
      <c r="Q307" s="41" t="s">
        <v>23</v>
      </c>
    </row>
    <row r="308" spans="1:17" ht="12.3">
      <c r="A308" s="37">
        <v>43808</v>
      </c>
      <c r="B308" s="36" t="s">
        <v>199</v>
      </c>
      <c r="C308" s="36" t="s">
        <v>1040</v>
      </c>
      <c r="D308" s="38" t="s">
        <v>894</v>
      </c>
      <c r="E308" s="36" t="s">
        <v>19</v>
      </c>
      <c r="F308" s="36" t="s">
        <v>20</v>
      </c>
      <c r="G308" s="36">
        <v>9</v>
      </c>
      <c r="H308" s="36"/>
      <c r="I308" s="36">
        <v>44</v>
      </c>
      <c r="J308" s="36" t="s">
        <v>1041</v>
      </c>
      <c r="K308" s="4">
        <v>0</v>
      </c>
      <c r="L308" s="5">
        <v>0</v>
      </c>
      <c r="M308" s="5">
        <v>600</v>
      </c>
      <c r="N308" s="39">
        <f>LOG(K308+([2]Values!$D$8*L308)+([2]Values!$D$9*M308)+(O308*[2]Values!D$10)+(P308*[2]Values!$D$11)+1)</f>
        <v>1.2703126946653431</v>
      </c>
      <c r="O308" s="42">
        <v>720</v>
      </c>
      <c r="P308" s="40"/>
      <c r="Q308" s="41" t="s">
        <v>23</v>
      </c>
    </row>
    <row r="309" spans="1:17" ht="12.3">
      <c r="A309" s="80">
        <v>43809</v>
      </c>
      <c r="B309" s="36" t="s">
        <v>17</v>
      </c>
      <c r="C309" s="36" t="s">
        <v>748</v>
      </c>
      <c r="D309" s="38" t="s">
        <v>837</v>
      </c>
      <c r="E309" s="36" t="s">
        <v>19</v>
      </c>
      <c r="F309" s="36" t="s">
        <v>20</v>
      </c>
      <c r="G309" s="36">
        <v>12</v>
      </c>
      <c r="H309" s="36"/>
      <c r="I309" s="36" t="s">
        <v>1042</v>
      </c>
      <c r="J309" s="36" t="s">
        <v>1043</v>
      </c>
      <c r="K309" s="4">
        <v>0</v>
      </c>
      <c r="L309" s="5">
        <v>0</v>
      </c>
      <c r="M309" s="5">
        <v>0</v>
      </c>
      <c r="N309" s="39">
        <f>LOG(K309+([2]Values!$D$8*L309)+([2]Values!$D$9*M309)+(O309*[2]Values!D$10)+(P309*[2]Values!$D$11)+1)</f>
        <v>1.9565284656210144E-2</v>
      </c>
      <c r="O309" s="42">
        <v>5</v>
      </c>
      <c r="P309" s="40">
        <v>0</v>
      </c>
      <c r="Q309" s="41" t="s">
        <v>23</v>
      </c>
    </row>
    <row r="310" spans="1:17" ht="12.3">
      <c r="A310" s="80">
        <v>43809</v>
      </c>
      <c r="B310" s="36" t="s">
        <v>105</v>
      </c>
      <c r="C310" s="36" t="s">
        <v>1044</v>
      </c>
      <c r="D310" s="38" t="s">
        <v>984</v>
      </c>
      <c r="E310" s="36" t="s">
        <v>19</v>
      </c>
      <c r="F310" s="36" t="s">
        <v>20</v>
      </c>
      <c r="G310" s="36">
        <v>8</v>
      </c>
      <c r="H310" s="36"/>
      <c r="I310" s="36" t="s">
        <v>1045</v>
      </c>
      <c r="J310" s="36" t="s">
        <v>1046</v>
      </c>
      <c r="K310" s="4">
        <v>0</v>
      </c>
      <c r="L310" s="5">
        <v>0</v>
      </c>
      <c r="M310" s="5">
        <v>1</v>
      </c>
      <c r="N310" s="39">
        <f>LOG(K310+([2]Values!$D$8*L310)+([2]Values!$D$9*M310)+(O310*[2]Values!D$10)+(P310*[2]Values!$D$11)+1)</f>
        <v>0.11220826669714663</v>
      </c>
      <c r="O310" s="42">
        <v>30</v>
      </c>
      <c r="P310" s="40">
        <v>0</v>
      </c>
      <c r="Q310" s="41" t="s">
        <v>23</v>
      </c>
    </row>
    <row r="311" spans="1:17" ht="12.3">
      <c r="A311" s="80">
        <v>43812</v>
      </c>
      <c r="B311" s="36" t="s">
        <v>652</v>
      </c>
      <c r="C311" s="36" t="s">
        <v>653</v>
      </c>
      <c r="D311" s="38" t="s">
        <v>1047</v>
      </c>
      <c r="E311" s="36" t="s">
        <v>19</v>
      </c>
      <c r="F311" s="36" t="s">
        <v>1048</v>
      </c>
      <c r="G311" s="36">
        <v>1</v>
      </c>
      <c r="H311" s="36"/>
      <c r="I311" s="36" t="s">
        <v>1049</v>
      </c>
      <c r="J311" s="36" t="s">
        <v>1050</v>
      </c>
      <c r="K311" s="4">
        <v>0</v>
      </c>
      <c r="L311" s="5">
        <v>0</v>
      </c>
      <c r="M311" s="5">
        <v>0</v>
      </c>
      <c r="N311" s="39">
        <f>LOG(K311+([2]Values!$D$8*L311)+([2]Values!$D$9*M311)+(O311*[2]Values!D$10)+(P311*[2]Values!$D$11)+1)</f>
        <v>3.9842071266415419E-3</v>
      </c>
      <c r="O311" s="40">
        <v>1</v>
      </c>
      <c r="P311" s="40">
        <v>0</v>
      </c>
      <c r="Q311" s="41" t="s">
        <v>23</v>
      </c>
    </row>
    <row r="312" spans="1:17" ht="12.3">
      <c r="A312" s="80">
        <v>43813</v>
      </c>
      <c r="B312" s="36" t="s">
        <v>24</v>
      </c>
      <c r="C312" s="36" t="s">
        <v>397</v>
      </c>
      <c r="D312" s="38" t="s">
        <v>886</v>
      </c>
      <c r="E312" s="36" t="s">
        <v>19</v>
      </c>
      <c r="F312" s="36" t="s">
        <v>20</v>
      </c>
      <c r="G312" s="36">
        <v>5</v>
      </c>
      <c r="H312" s="36"/>
      <c r="I312" s="60">
        <v>43727</v>
      </c>
      <c r="J312" s="45" t="s">
        <v>398</v>
      </c>
      <c r="K312" s="4">
        <v>0</v>
      </c>
      <c r="L312" s="5">
        <v>0</v>
      </c>
      <c r="M312" s="5"/>
      <c r="N312" s="39">
        <f>LOG(K312+([2]Values!$D$8*L312)+([2]Values!$D$9*M312)+(O312*[2]Values!D$10)+(P312*[2]Values!$D$11)+1)</f>
        <v>0.11641048445042679</v>
      </c>
      <c r="O312" s="42">
        <v>30</v>
      </c>
      <c r="P312" s="40">
        <v>1</v>
      </c>
      <c r="Q312" s="41" t="s">
        <v>23</v>
      </c>
    </row>
    <row r="313" spans="1:17" ht="12.3">
      <c r="A313" s="79">
        <v>43814</v>
      </c>
      <c r="B313" s="45" t="s">
        <v>62</v>
      </c>
      <c r="C313" s="45" t="s">
        <v>1051</v>
      </c>
      <c r="D313" s="46" t="s">
        <v>1052</v>
      </c>
      <c r="E313" s="45" t="s">
        <v>19</v>
      </c>
      <c r="F313" s="45" t="s">
        <v>20</v>
      </c>
      <c r="G313" s="45">
        <v>27</v>
      </c>
      <c r="H313" s="45" t="s">
        <v>123</v>
      </c>
      <c r="I313" s="45" t="s">
        <v>1053</v>
      </c>
      <c r="J313" s="45" t="s">
        <v>578</v>
      </c>
      <c r="K313" s="4">
        <v>14</v>
      </c>
      <c r="L313" s="47">
        <v>210</v>
      </c>
      <c r="M313" s="47">
        <v>131173</v>
      </c>
      <c r="N313" s="48">
        <f>LOG(K313+([2]Values!$D$8*L313)+([2]Values!$D$9*M313)+(O313*[2]Values!D$10)+(P313*[2]Values!$D$11)+1)</f>
        <v>3.4839480519335466</v>
      </c>
      <c r="O313" s="45">
        <v>37793</v>
      </c>
      <c r="P313" s="45">
        <v>7324</v>
      </c>
      <c r="Q313" s="49" t="s">
        <v>23</v>
      </c>
    </row>
    <row r="314" spans="1:17" ht="12.3">
      <c r="A314" s="80">
        <v>43815</v>
      </c>
      <c r="B314" s="36" t="s">
        <v>661</v>
      </c>
      <c r="C314" s="36" t="s">
        <v>1054</v>
      </c>
      <c r="D314" s="38" t="s">
        <v>827</v>
      </c>
      <c r="E314" s="36" t="s">
        <v>19</v>
      </c>
      <c r="F314" s="36" t="s">
        <v>20</v>
      </c>
      <c r="G314" s="36">
        <v>10</v>
      </c>
      <c r="H314" s="36"/>
      <c r="I314" s="36" t="s">
        <v>1055</v>
      </c>
      <c r="J314" s="36" t="s">
        <v>1056</v>
      </c>
      <c r="K314" s="4">
        <v>0</v>
      </c>
      <c r="L314" s="5">
        <v>0</v>
      </c>
      <c r="M314" s="5">
        <v>0</v>
      </c>
      <c r="N314" s="84">
        <f>LOG(K314+([2]Values!$D$8*L314)+([2]Values!$D$9*M314)+(O314*[2]Values!D$10)+(P314*[2]Values!$D$11)+1)</f>
        <v>3.9842071266415419E-3</v>
      </c>
      <c r="O314" s="40">
        <v>1</v>
      </c>
      <c r="P314" s="40">
        <v>0</v>
      </c>
      <c r="Q314" s="41" t="s">
        <v>23</v>
      </c>
    </row>
    <row r="315" spans="1:17" ht="12.3">
      <c r="A315" s="80">
        <v>43817</v>
      </c>
      <c r="B315" s="36" t="s">
        <v>83</v>
      </c>
      <c r="C315" s="36" t="s">
        <v>150</v>
      </c>
      <c r="D315" s="38" t="s">
        <v>965</v>
      </c>
      <c r="E315" s="36" t="s">
        <v>19</v>
      </c>
      <c r="F315" s="36" t="s">
        <v>20</v>
      </c>
      <c r="G315" s="36">
        <v>14</v>
      </c>
      <c r="H315" s="36"/>
      <c r="I315" s="36" t="s">
        <v>130</v>
      </c>
      <c r="J315" s="36" t="s">
        <v>1057</v>
      </c>
      <c r="K315" s="4">
        <v>0</v>
      </c>
      <c r="L315" s="5">
        <v>18</v>
      </c>
      <c r="M315" s="5">
        <v>47</v>
      </c>
      <c r="N315" s="84">
        <f>LOG(K315+([2]Values!$D$8*L315)+([2]Values!$D$9*M315)+(O315*[2]Values!D$10)+(P315*[2]Values!$D$11)+1)</f>
        <v>1.2397246222241658</v>
      </c>
      <c r="O315" s="40">
        <v>607</v>
      </c>
      <c r="P315" s="40">
        <v>173</v>
      </c>
      <c r="Q315" s="41" t="s">
        <v>23</v>
      </c>
    </row>
    <row r="316" spans="1:17" ht="12.3">
      <c r="A316" s="80">
        <v>43819</v>
      </c>
      <c r="B316" s="36" t="s">
        <v>608</v>
      </c>
      <c r="C316" s="36" t="s">
        <v>609</v>
      </c>
      <c r="D316" s="50" t="s">
        <v>829</v>
      </c>
      <c r="E316" s="36" t="s">
        <v>19</v>
      </c>
      <c r="F316" s="36" t="s">
        <v>20</v>
      </c>
      <c r="G316" s="36">
        <v>206</v>
      </c>
      <c r="H316" s="36"/>
      <c r="I316" s="36" t="s">
        <v>1058</v>
      </c>
      <c r="J316" s="36" t="s">
        <v>1059</v>
      </c>
      <c r="K316" s="4">
        <f t="shared" ref="K316:M316" si="13">SUM(K317:K318)</f>
        <v>0</v>
      </c>
      <c r="L316" s="5">
        <f t="shared" si="13"/>
        <v>3</v>
      </c>
      <c r="M316" s="5">
        <f t="shared" si="13"/>
        <v>0</v>
      </c>
      <c r="N316" s="84">
        <f>LOG(K316+([2]Values!$D$8*L316)+([2]Values!$D$9*M316)+(O316*[2]Values!D$10)+(P316*[2]Values!$D$11)+1)</f>
        <v>0.31866732581846136</v>
      </c>
      <c r="O316" s="42">
        <f t="shared" ref="O316:P316" si="14">SUM(O317:O318)</f>
        <v>35</v>
      </c>
      <c r="P316" s="42">
        <f t="shared" si="14"/>
        <v>0</v>
      </c>
      <c r="Q316" s="41" t="s">
        <v>23</v>
      </c>
    </row>
    <row r="317" spans="1:17" ht="12.3">
      <c r="A317" s="80"/>
      <c r="B317" s="36"/>
      <c r="C317" s="36"/>
      <c r="D317" s="50" t="s">
        <v>829</v>
      </c>
      <c r="E317" s="36"/>
      <c r="F317" s="36"/>
      <c r="G317" s="36"/>
      <c r="H317" s="36"/>
      <c r="I317" s="36"/>
      <c r="J317" s="36"/>
      <c r="K317" s="4">
        <v>0</v>
      </c>
      <c r="L317" s="5">
        <v>3</v>
      </c>
      <c r="M317" s="5"/>
      <c r="N317" s="84">
        <f>LOG(K317+([2]Values!$D$8*L317)+([2]Values!$D$9*M317)+(O317*[2]Values!D$10)+(P317*[2]Values!$D$11)+1)</f>
        <v>0.30895133373652595</v>
      </c>
      <c r="O317" s="42">
        <v>30</v>
      </c>
      <c r="P317" s="40"/>
      <c r="Q317" s="41" t="s">
        <v>23</v>
      </c>
    </row>
    <row r="318" spans="1:17" ht="12.3">
      <c r="A318" s="80"/>
      <c r="B318" s="36"/>
      <c r="C318" s="36"/>
      <c r="D318" s="50" t="s">
        <v>829</v>
      </c>
      <c r="E318" s="36"/>
      <c r="F318" s="36"/>
      <c r="G318" s="36"/>
      <c r="H318" s="36"/>
      <c r="I318" s="36"/>
      <c r="J318" s="36"/>
      <c r="K318" s="4">
        <v>0</v>
      </c>
      <c r="L318" s="5">
        <v>0</v>
      </c>
      <c r="M318" s="5"/>
      <c r="N318" s="84">
        <f>LOG(K318+([2]Values!$D$8*L318)+([2]Values!$D$9*M318)+(O318*[2]Values!D$10)+(P318*[2]Values!$D$11)+1)</f>
        <v>1.9565284656210144E-2</v>
      </c>
      <c r="O318" s="42">
        <v>5</v>
      </c>
      <c r="P318" s="40"/>
      <c r="Q318" s="41" t="s">
        <v>23</v>
      </c>
    </row>
    <row r="319" spans="1:17" ht="12.3">
      <c r="A319" s="80">
        <v>43821</v>
      </c>
      <c r="B319" s="36" t="s">
        <v>17</v>
      </c>
      <c r="C319" s="36" t="s">
        <v>425</v>
      </c>
      <c r="D319" s="38" t="s">
        <v>984</v>
      </c>
      <c r="E319" s="36" t="s">
        <v>19</v>
      </c>
      <c r="F319" s="36" t="s">
        <v>20</v>
      </c>
      <c r="G319" s="36">
        <v>10</v>
      </c>
      <c r="H319" s="36"/>
      <c r="I319" s="36" t="s">
        <v>1061</v>
      </c>
      <c r="J319" s="36" t="s">
        <v>1062</v>
      </c>
      <c r="K319" s="4">
        <v>0</v>
      </c>
      <c r="L319" s="5">
        <v>0</v>
      </c>
      <c r="M319" s="5">
        <v>0</v>
      </c>
      <c r="N319" s="84">
        <f>LOG(K319+([2]Values!$D$8*L319)+([2]Values!$D$9*M319)+(O319*[2]Values!D$10)+(P319*[2]Values!$D$11)+1)</f>
        <v>5.6234907072035586E-2</v>
      </c>
      <c r="O319" s="42">
        <v>15</v>
      </c>
      <c r="P319" s="40">
        <v>0</v>
      </c>
      <c r="Q319" s="41" t="s">
        <v>23</v>
      </c>
    </row>
    <row r="320" spans="1:17" ht="12.3">
      <c r="A320" s="80">
        <v>43823</v>
      </c>
      <c r="B320" s="36" t="s">
        <v>378</v>
      </c>
      <c r="C320" s="36" t="s">
        <v>1063</v>
      </c>
      <c r="D320" s="50" t="s">
        <v>525</v>
      </c>
      <c r="E320" s="36" t="s">
        <v>19</v>
      </c>
      <c r="F320" s="36" t="s">
        <v>20</v>
      </c>
      <c r="G320" s="36">
        <v>13</v>
      </c>
      <c r="H320" s="36" t="s">
        <v>123</v>
      </c>
      <c r="I320" s="36" t="s">
        <v>1064</v>
      </c>
      <c r="J320" s="36">
        <v>-74</v>
      </c>
      <c r="K320" s="4">
        <v>0</v>
      </c>
      <c r="L320" s="5">
        <v>0</v>
      </c>
      <c r="M320" s="5">
        <v>0</v>
      </c>
      <c r="N320" s="84">
        <f>LOG(K320+([2]Values!$D$8*L320)+([2]Values!$D$9*M320)+(O320*[2]Values!D$10)+(P320*[2]Values!$D$11)+1)</f>
        <v>0.1214175193952943</v>
      </c>
      <c r="O320" s="40">
        <v>35</v>
      </c>
      <c r="P320" s="40">
        <v>0</v>
      </c>
      <c r="Q320" s="41" t="s">
        <v>23</v>
      </c>
    </row>
    <row r="321" spans="1:17" ht="12.3">
      <c r="A321" s="80">
        <v>43825</v>
      </c>
      <c r="B321" s="36" t="s">
        <v>44</v>
      </c>
      <c r="C321" s="36" t="s">
        <v>57</v>
      </c>
      <c r="D321" s="38" t="s">
        <v>949</v>
      </c>
      <c r="E321" s="36" t="s">
        <v>19</v>
      </c>
      <c r="F321" s="36" t="s">
        <v>20</v>
      </c>
      <c r="G321" s="36">
        <v>60</v>
      </c>
      <c r="H321" s="36"/>
      <c r="I321" s="36" t="s">
        <v>1065</v>
      </c>
      <c r="J321" s="36" t="s">
        <v>1066</v>
      </c>
      <c r="K321" s="4">
        <v>0</v>
      </c>
      <c r="L321" s="5">
        <v>0</v>
      </c>
      <c r="M321" s="5">
        <v>5</v>
      </c>
      <c r="N321" s="84">
        <f>LOG(K321+([2]Values!$D$8*L321)+([2]Values!$D$9*M321)+(O321*[2]Values!D$10)+(P321*[2]Values!$D$11)+1)</f>
        <v>5.0215638297795344E-2</v>
      </c>
      <c r="O321" s="40">
        <v>0</v>
      </c>
      <c r="P321" s="40">
        <v>1</v>
      </c>
      <c r="Q321" s="41" t="s">
        <v>23</v>
      </c>
    </row>
    <row r="322" spans="1:17" ht="12.3">
      <c r="A322" s="80">
        <v>43825</v>
      </c>
      <c r="B322" s="36" t="s">
        <v>62</v>
      </c>
      <c r="C322" s="36" t="s">
        <v>220</v>
      </c>
      <c r="D322" s="38" t="s">
        <v>949</v>
      </c>
      <c r="E322" s="36" t="s">
        <v>19</v>
      </c>
      <c r="F322" s="36" t="s">
        <v>20</v>
      </c>
      <c r="G322" s="36">
        <v>19</v>
      </c>
      <c r="H322" s="36"/>
      <c r="I322" s="36" t="s">
        <v>1067</v>
      </c>
      <c r="J322" s="36" t="s">
        <v>1068</v>
      </c>
      <c r="K322" s="4">
        <v>0</v>
      </c>
      <c r="L322" s="5">
        <v>0</v>
      </c>
      <c r="M322" s="5">
        <v>0</v>
      </c>
      <c r="N322" s="84">
        <f>LOG(K322+([2]Values!$D$8*L322)+([2]Values!$D$9*M322)+(O322*[2]Values!D$10)+(P322*[2]Values!$D$11)+1)</f>
        <v>3.9842071266415419E-3</v>
      </c>
      <c r="O322" s="40">
        <v>1</v>
      </c>
      <c r="P322" s="40">
        <v>0</v>
      </c>
      <c r="Q322" s="41" t="s">
        <v>23</v>
      </c>
    </row>
    <row r="323" spans="1:17" ht="12.3">
      <c r="A323" s="80">
        <v>43825</v>
      </c>
      <c r="B323" s="36" t="s">
        <v>83</v>
      </c>
      <c r="C323" s="36" t="s">
        <v>1069</v>
      </c>
      <c r="D323" s="38" t="s">
        <v>336</v>
      </c>
      <c r="E323" s="36" t="s">
        <v>19</v>
      </c>
      <c r="F323" s="36" t="s">
        <v>20</v>
      </c>
      <c r="G323" s="36">
        <v>10</v>
      </c>
      <c r="H323" s="36"/>
      <c r="I323" s="36" t="s">
        <v>1070</v>
      </c>
      <c r="J323" s="36" t="s">
        <v>1071</v>
      </c>
      <c r="K323" s="4">
        <v>0</v>
      </c>
      <c r="L323" s="5">
        <v>1</v>
      </c>
      <c r="M323" s="5"/>
      <c r="N323" s="84">
        <f>LOG(K323+([2]Values!$D$8*L323)+([2]Values!$D$9*M323)+(O323*[2]Values!D$10)+(P323*[2]Values!$D$11)+1)</f>
        <v>0.88493004888917937</v>
      </c>
      <c r="O323" s="40">
        <v>673</v>
      </c>
      <c r="P323" s="40">
        <v>7</v>
      </c>
      <c r="Q323" s="41" t="s">
        <v>23</v>
      </c>
    </row>
    <row r="324" spans="1:17" ht="12.3">
      <c r="A324" s="80">
        <v>43826</v>
      </c>
      <c r="B324" s="36" t="s">
        <v>17</v>
      </c>
      <c r="C324" s="36" t="s">
        <v>53</v>
      </c>
      <c r="D324" s="38" t="s">
        <v>336</v>
      </c>
      <c r="E324" s="36" t="s">
        <v>19</v>
      </c>
      <c r="F324" s="36" t="s">
        <v>20</v>
      </c>
      <c r="G324" s="36">
        <v>10</v>
      </c>
      <c r="H324" s="36"/>
      <c r="I324" s="67">
        <v>43736</v>
      </c>
      <c r="J324" s="36" t="s">
        <v>1072</v>
      </c>
      <c r="K324" s="4">
        <v>0</v>
      </c>
      <c r="L324" s="5">
        <v>0</v>
      </c>
      <c r="M324" s="5">
        <v>0</v>
      </c>
      <c r="N324" s="84">
        <f>LOG(K324+([2]Values!$D$8*L324)+([2]Values!$D$9*M324)+(O324*[2]Values!D$10)+(P324*[2]Values!$D$11)+1)</f>
        <v>1.9565284656210144E-2</v>
      </c>
      <c r="O324" s="40">
        <v>5</v>
      </c>
      <c r="P324" s="40">
        <v>0</v>
      </c>
      <c r="Q324" s="41" t="s">
        <v>23</v>
      </c>
    </row>
    <row r="325" spans="1:17" ht="12.3">
      <c r="A325" s="80">
        <v>43826</v>
      </c>
      <c r="B325" s="36" t="s">
        <v>105</v>
      </c>
      <c r="C325" s="36" t="s">
        <v>122</v>
      </c>
      <c r="D325" s="38" t="s">
        <v>336</v>
      </c>
      <c r="E325" s="36" t="s">
        <v>19</v>
      </c>
      <c r="F325" s="36" t="s">
        <v>20</v>
      </c>
      <c r="G325" s="36">
        <v>5</v>
      </c>
      <c r="H325" s="36"/>
      <c r="I325" s="36" t="s">
        <v>542</v>
      </c>
      <c r="J325" s="36" t="s">
        <v>108</v>
      </c>
      <c r="K325" s="4">
        <v>0</v>
      </c>
      <c r="L325" s="5">
        <v>0</v>
      </c>
      <c r="M325" s="5">
        <v>0</v>
      </c>
      <c r="N325" s="84">
        <f>LOG(K325+([2]Values!$D$8*L325)+([2]Values!$D$9*M325)+(O325*[2]Values!D$10)+(P325*[2]Values!$D$11)+1)</f>
        <v>3.2216262389787004E-2</v>
      </c>
      <c r="O325" s="40">
        <v>5</v>
      </c>
      <c r="P325" s="40">
        <v>1</v>
      </c>
      <c r="Q325" s="41" t="s">
        <v>23</v>
      </c>
    </row>
    <row r="326" spans="1:17" ht="12.3">
      <c r="A326" s="80">
        <v>43827</v>
      </c>
      <c r="B326" s="36" t="s">
        <v>39</v>
      </c>
      <c r="C326" s="36" t="s">
        <v>40</v>
      </c>
      <c r="D326" s="38" t="s">
        <v>840</v>
      </c>
      <c r="E326" s="36" t="s">
        <v>348</v>
      </c>
      <c r="F326" s="36" t="s">
        <v>20</v>
      </c>
      <c r="G326" s="36">
        <v>6</v>
      </c>
      <c r="H326" s="36" t="s">
        <v>134</v>
      </c>
      <c r="I326" s="51">
        <v>17937</v>
      </c>
      <c r="J326" s="51">
        <v>-66866</v>
      </c>
      <c r="K326" s="4">
        <v>0</v>
      </c>
      <c r="L326" s="5">
        <v>0</v>
      </c>
      <c r="M326" s="5">
        <v>0</v>
      </c>
      <c r="N326" s="84">
        <f>LOG(K326+([2]Values!$D$8*L326)+([2]Values!$D$9*M326)+(O326*[2]Values!D$10)+(P326*[2]Values!$D$11)+1)</f>
        <v>1.1844616960551136E-2</v>
      </c>
      <c r="O326" s="42">
        <v>3</v>
      </c>
      <c r="P326" s="40">
        <v>0</v>
      </c>
      <c r="Q326" s="41" t="s">
        <v>23</v>
      </c>
    </row>
    <row r="327" spans="1:17" ht="12.3">
      <c r="A327" s="80">
        <v>43829</v>
      </c>
      <c r="B327" s="36" t="s">
        <v>17</v>
      </c>
      <c r="C327" s="36" t="s">
        <v>110</v>
      </c>
      <c r="D327" s="38" t="s">
        <v>868</v>
      </c>
      <c r="E327" s="36" t="s">
        <v>19</v>
      </c>
      <c r="F327" s="36" t="s">
        <v>20</v>
      </c>
      <c r="G327" s="36"/>
      <c r="H327" s="36"/>
      <c r="I327" s="36" t="s">
        <v>1073</v>
      </c>
      <c r="J327" s="36" t="s">
        <v>1074</v>
      </c>
      <c r="K327" s="4">
        <v>0</v>
      </c>
      <c r="L327" s="5">
        <v>4</v>
      </c>
      <c r="M327" s="5">
        <v>5</v>
      </c>
      <c r="N327" s="84">
        <f>LOG(K327+([2]Values!$D$8*L327)+([2]Values!$D$9*M327)+(O327*[2]Values!D$10)+(P327*[2]Values!$D$11)+1)</f>
        <v>0.33591244996856384</v>
      </c>
      <c r="O327" s="40"/>
      <c r="P327" s="40">
        <v>2</v>
      </c>
      <c r="Q327" s="41" t="s">
        <v>23</v>
      </c>
    </row>
    <row r="328" spans="1:17" ht="12.3">
      <c r="A328" s="80">
        <v>43829</v>
      </c>
      <c r="B328" s="36" t="s">
        <v>216</v>
      </c>
      <c r="C328" s="36" t="s">
        <v>1075</v>
      </c>
      <c r="D328" s="38" t="s">
        <v>868</v>
      </c>
      <c r="E328" s="36" t="s">
        <v>19</v>
      </c>
      <c r="F328" s="36" t="s">
        <v>20</v>
      </c>
      <c r="G328" s="36"/>
      <c r="H328" s="36"/>
      <c r="I328" s="36" t="s">
        <v>1076</v>
      </c>
      <c r="J328" s="36" t="s">
        <v>1077</v>
      </c>
      <c r="K328" s="4"/>
      <c r="L328" s="5"/>
      <c r="M328" s="43">
        <v>100</v>
      </c>
      <c r="N328" s="84">
        <f>LOG(K328+([2]Values!$D$8*L328)+([2]Values!$D$9*M328)+(O328*[2]Values!D$10)+(P328*[2]Values!$D$11)+1)</f>
        <v>0.71072236363745334</v>
      </c>
      <c r="O328" s="42">
        <v>250</v>
      </c>
      <c r="P328" s="40"/>
      <c r="Q328" s="41" t="s">
        <v>23</v>
      </c>
    </row>
    <row r="329" spans="1:17" ht="12.3">
      <c r="A329" s="85"/>
      <c r="B329" s="85"/>
      <c r="C329" s="85"/>
      <c r="D329" s="85"/>
      <c r="E329" s="85"/>
      <c r="F329" s="85"/>
      <c r="G329" s="85"/>
      <c r="H329" s="85"/>
      <c r="I329" s="85"/>
      <c r="J329" s="85"/>
      <c r="K329" s="4"/>
      <c r="L329" s="5"/>
      <c r="M329" s="5"/>
      <c r="N329" s="39"/>
      <c r="O329" s="40"/>
      <c r="P329" s="40"/>
      <c r="Q329" s="41"/>
    </row>
    <row r="330" spans="1:17" ht="15">
      <c r="K330" s="86"/>
      <c r="L330" s="86"/>
      <c r="M330" s="86"/>
      <c r="N330" s="86"/>
      <c r="O330" s="86"/>
      <c r="P330" s="86"/>
      <c r="Q330" s="86"/>
    </row>
  </sheetData>
  <mergeCells count="1">
    <mergeCell ref="A329:J329"/>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6ECF9-FF83-4DED-B25C-C39C9973D44E}">
  <sheetPr>
    <outlinePr summaryBelow="0" summaryRight="0"/>
  </sheetPr>
  <dimension ref="A1:Q163"/>
  <sheetViews>
    <sheetView workbookViewId="0">
      <pane ySplit="1" topLeftCell="A2" activePane="bottomLeft" state="frozen"/>
      <selection pane="bottomLeft" activeCell="D8" sqref="D8"/>
    </sheetView>
    <sheetView tabSelected="1" topLeftCell="M1" workbookViewId="1">
      <selection activeCell="R1" sqref="R1:R1048576"/>
    </sheetView>
  </sheetViews>
  <sheetFormatPr defaultColWidth="13.68359375" defaultRowHeight="15.75" customHeight="1"/>
  <cols>
    <col min="1" max="1" width="10.15625" style="8" customWidth="1"/>
    <col min="2" max="2" width="17.47265625" style="8" customWidth="1"/>
    <col min="3" max="3" width="22.47265625" style="8" customWidth="1"/>
    <col min="4" max="4" width="4.734375" style="8" customWidth="1"/>
    <col min="5" max="5" width="13.5234375" style="8" customWidth="1"/>
    <col min="6" max="6" width="20.15625" style="8" customWidth="1"/>
    <col min="7" max="7" width="6.3671875" style="8" customWidth="1"/>
    <col min="8" max="8" width="10.83984375" style="8" customWidth="1"/>
    <col min="9" max="9" width="7.05078125" style="8" customWidth="1"/>
    <col min="10" max="10" width="7.15625" style="8" customWidth="1"/>
    <col min="11" max="11" width="8.62890625" style="8" customWidth="1"/>
    <col min="12" max="12" width="7.3125" style="8" customWidth="1"/>
    <col min="13" max="13" width="9.20703125" style="8" customWidth="1"/>
    <col min="14" max="14" width="8.5234375" style="8" customWidth="1"/>
    <col min="15" max="15" width="8.9453125" style="8" customWidth="1"/>
    <col min="16" max="16" width="9.47265625" style="8" customWidth="1"/>
    <col min="17" max="17" width="8.1015625" style="8" customWidth="1"/>
    <col min="18" max="16384" width="13.68359375" style="8"/>
  </cols>
  <sheetData>
    <row r="1" spans="1:17" ht="30.6" customHeight="1">
      <c r="A1" s="1" t="s">
        <v>0</v>
      </c>
      <c r="B1" s="2" t="s">
        <v>1</v>
      </c>
      <c r="C1" s="2" t="s">
        <v>2</v>
      </c>
      <c r="D1" s="2" t="s">
        <v>1078</v>
      </c>
      <c r="E1" s="2" t="s">
        <v>3</v>
      </c>
      <c r="F1" s="2" t="s">
        <v>4</v>
      </c>
      <c r="G1" s="3" t="s">
        <v>5</v>
      </c>
      <c r="H1" s="3" t="s">
        <v>6</v>
      </c>
      <c r="I1" s="3" t="s">
        <v>7</v>
      </c>
      <c r="J1" s="3" t="s">
        <v>8</v>
      </c>
      <c r="K1" s="4" t="s">
        <v>9</v>
      </c>
      <c r="L1" s="5" t="s">
        <v>10</v>
      </c>
      <c r="M1" s="5" t="s">
        <v>11</v>
      </c>
      <c r="N1" s="6" t="s">
        <v>12</v>
      </c>
      <c r="O1" s="3" t="s">
        <v>13</v>
      </c>
      <c r="P1" s="3" t="s">
        <v>14</v>
      </c>
      <c r="Q1" s="7" t="s">
        <v>15</v>
      </c>
    </row>
    <row r="2" spans="1:17" ht="15.75" customHeight="1">
      <c r="A2" s="9">
        <v>43832</v>
      </c>
      <c r="B2" s="10" t="s">
        <v>17</v>
      </c>
      <c r="C2" s="10" t="s">
        <v>18</v>
      </c>
      <c r="D2" s="11">
        <v>5.8</v>
      </c>
      <c r="E2" s="10" t="s">
        <v>19</v>
      </c>
      <c r="F2" s="10" t="s">
        <v>20</v>
      </c>
      <c r="G2" s="10">
        <v>8</v>
      </c>
      <c r="H2" s="10"/>
      <c r="I2" s="10" t="s">
        <v>21</v>
      </c>
      <c r="J2" s="10" t="s">
        <v>22</v>
      </c>
      <c r="K2" s="12">
        <v>0</v>
      </c>
      <c r="L2" s="13">
        <v>1</v>
      </c>
      <c r="M2" s="13">
        <v>100</v>
      </c>
      <c r="N2" s="14">
        <f>LOG(K2+([1]Values!$D$8*L2)+([1]Values!$D$9*M2)+(O2*[1]Values!D$10)+(P2*[1]Values!$D$11)+1)</f>
        <v>0.60954719735836804</v>
      </c>
      <c r="O2" s="11">
        <v>100</v>
      </c>
      <c r="P2" s="11">
        <v>2</v>
      </c>
      <c r="Q2" s="15" t="s">
        <v>23</v>
      </c>
    </row>
    <row r="3" spans="1:17" ht="15.75" customHeight="1">
      <c r="A3" s="9">
        <v>43833</v>
      </c>
      <c r="B3" s="10" t="s">
        <v>24</v>
      </c>
      <c r="C3" s="10" t="s">
        <v>25</v>
      </c>
      <c r="D3" s="10">
        <v>3.2</v>
      </c>
      <c r="E3" s="10" t="s">
        <v>19</v>
      </c>
      <c r="F3" s="10" t="s">
        <v>20</v>
      </c>
      <c r="G3" s="10"/>
      <c r="H3" s="10"/>
      <c r="I3" s="10" t="s">
        <v>26</v>
      </c>
      <c r="J3" s="10" t="s">
        <v>27</v>
      </c>
      <c r="K3" s="12">
        <v>0</v>
      </c>
      <c r="L3" s="13">
        <v>0</v>
      </c>
      <c r="M3" s="13">
        <v>0</v>
      </c>
      <c r="N3" s="14">
        <f>LOG(K3+([1]Values!$D$8*L3)+([1]Values!$D$9*M3)+(O3*[1]Values!D$10)+(P3*[1]Values!$D$11)+1)</f>
        <v>1.9547942558039232E-2</v>
      </c>
      <c r="O3" s="16">
        <v>5</v>
      </c>
      <c r="P3" s="11">
        <v>0</v>
      </c>
      <c r="Q3" s="15" t="s">
        <v>23</v>
      </c>
    </row>
    <row r="4" spans="1:17" ht="15.75" customHeight="1">
      <c r="A4" s="9">
        <v>43833</v>
      </c>
      <c r="B4" s="10" t="s">
        <v>29</v>
      </c>
      <c r="C4" s="10" t="s">
        <v>30</v>
      </c>
      <c r="D4" s="10">
        <v>5</v>
      </c>
      <c r="E4" s="10" t="s">
        <v>19</v>
      </c>
      <c r="F4" s="10" t="s">
        <v>20</v>
      </c>
      <c r="G4" s="10">
        <v>60</v>
      </c>
      <c r="H4" s="10"/>
      <c r="I4" s="10" t="s">
        <v>31</v>
      </c>
      <c r="J4" s="10" t="s">
        <v>32</v>
      </c>
      <c r="K4" s="12">
        <v>0</v>
      </c>
      <c r="L4" s="13">
        <v>0</v>
      </c>
      <c r="M4" s="13">
        <v>0</v>
      </c>
      <c r="N4" s="14">
        <f>LOG(K4+([1]Values!$D$8*L4)+([1]Values!$D$9*M4)+(O4*[1]Values!D$10)+(P4*[1]Values!$D$11)+1)</f>
        <v>3.9806120691489328E-3</v>
      </c>
      <c r="O4" s="11">
        <v>1</v>
      </c>
      <c r="P4" s="11">
        <v>0</v>
      </c>
      <c r="Q4" s="15" t="s">
        <v>23</v>
      </c>
    </row>
    <row r="5" spans="1:17" ht="15.75" customHeight="1">
      <c r="A5" s="9">
        <v>43835</v>
      </c>
      <c r="B5" s="10" t="s">
        <v>33</v>
      </c>
      <c r="C5" s="10" t="s">
        <v>34</v>
      </c>
      <c r="D5" s="11">
        <v>5.8</v>
      </c>
      <c r="E5" s="10" t="s">
        <v>19</v>
      </c>
      <c r="F5" s="10" t="s">
        <v>20</v>
      </c>
      <c r="G5" s="10">
        <v>97</v>
      </c>
      <c r="H5" s="10" t="s">
        <v>35</v>
      </c>
      <c r="I5" s="10" t="s">
        <v>36</v>
      </c>
      <c r="J5" s="10" t="s">
        <v>37</v>
      </c>
      <c r="K5" s="12">
        <v>0</v>
      </c>
      <c r="L5" s="13">
        <v>0</v>
      </c>
      <c r="M5" s="13"/>
      <c r="N5" s="14">
        <f>LOG(K5+([1]Values!$D$8*L5)+([1]Values!$D$9*M5)+(O5*[1]Values!D$10)+(P5*[1]Values!$D$11)+1)</f>
        <v>0.48738758072180299</v>
      </c>
      <c r="O5" s="11">
        <v>225</v>
      </c>
      <c r="P5" s="11"/>
      <c r="Q5" s="15" t="s">
        <v>23</v>
      </c>
    </row>
    <row r="6" spans="1:17" ht="15.75" customHeight="1">
      <c r="A6" s="9">
        <v>43836</v>
      </c>
      <c r="B6" s="10" t="s">
        <v>39</v>
      </c>
      <c r="C6" s="10" t="s">
        <v>40</v>
      </c>
      <c r="D6" s="11">
        <v>5.8</v>
      </c>
      <c r="E6" s="10" t="s">
        <v>41</v>
      </c>
      <c r="F6" s="10" t="s">
        <v>20</v>
      </c>
      <c r="G6" s="10">
        <v>6</v>
      </c>
      <c r="H6" s="10"/>
      <c r="I6" s="17" t="s">
        <v>42</v>
      </c>
      <c r="J6" s="10" t="s">
        <v>43</v>
      </c>
      <c r="K6" s="12">
        <v>0</v>
      </c>
      <c r="L6" s="13">
        <v>0</v>
      </c>
      <c r="M6" s="18">
        <v>5</v>
      </c>
      <c r="N6" s="14">
        <f>LOG(K6+([1]Values!$D$8*L6)+([1]Values!$D$9*M6)+(O6*[1]Values!D$10)+(P6*[1]Values!$D$11)+1)</f>
        <v>0.29434482442963295</v>
      </c>
      <c r="O6" s="11">
        <v>75</v>
      </c>
      <c r="P6" s="11">
        <v>6</v>
      </c>
      <c r="Q6" s="15" t="s">
        <v>23</v>
      </c>
    </row>
    <row r="7" spans="1:17" ht="15.75" customHeight="1">
      <c r="A7" s="9">
        <v>43837</v>
      </c>
      <c r="B7" s="10" t="s">
        <v>44</v>
      </c>
      <c r="C7" s="10" t="s">
        <v>45</v>
      </c>
      <c r="D7" s="11">
        <v>6.1</v>
      </c>
      <c r="E7" s="10" t="s">
        <v>19</v>
      </c>
      <c r="F7" s="10" t="s">
        <v>20</v>
      </c>
      <c r="G7" s="10">
        <v>17</v>
      </c>
      <c r="H7" s="10"/>
      <c r="I7" s="17" t="s">
        <v>46</v>
      </c>
      <c r="J7" s="10" t="s">
        <v>47</v>
      </c>
      <c r="K7" s="12">
        <v>0</v>
      </c>
      <c r="L7" s="13">
        <v>0</v>
      </c>
      <c r="M7" s="18">
        <v>0</v>
      </c>
      <c r="N7" s="14">
        <f>LOG(K7+([1]Values!$D$8*L7)+([1]Values!$D$9*M7)+(O7*[1]Values!D$10)+(P7*[1]Values!$D$11)+1)</f>
        <v>2.7127233492049665E-2</v>
      </c>
      <c r="O7" s="11">
        <v>7</v>
      </c>
      <c r="P7" s="11">
        <v>0</v>
      </c>
      <c r="Q7" s="15" t="s">
        <v>23</v>
      </c>
    </row>
    <row r="8" spans="1:17" ht="15.75" customHeight="1">
      <c r="A8" s="19">
        <v>43837</v>
      </c>
      <c r="B8" s="20" t="s">
        <v>39</v>
      </c>
      <c r="C8" s="20" t="s">
        <v>40</v>
      </c>
      <c r="D8" s="20">
        <v>6.4</v>
      </c>
      <c r="E8" s="20" t="s">
        <v>41</v>
      </c>
      <c r="F8" s="20" t="s">
        <v>20</v>
      </c>
      <c r="G8" s="20">
        <v>7</v>
      </c>
      <c r="H8" s="20" t="s">
        <v>49</v>
      </c>
      <c r="I8" s="20" t="s">
        <v>50</v>
      </c>
      <c r="J8" s="20" t="s">
        <v>51</v>
      </c>
      <c r="K8" s="12">
        <v>4</v>
      </c>
      <c r="L8" s="21">
        <v>10</v>
      </c>
      <c r="M8" s="21">
        <v>4900</v>
      </c>
      <c r="N8" s="22">
        <f>LOG(K8+([1]Values!$D$8*L8)+([1]Values!$D$9*M8)+(O8*[1]Values!D$10)+(P8*[1]Values!$D$11)+1)</f>
        <v>2.0774280367131976</v>
      </c>
      <c r="O8" s="20">
        <v>1390</v>
      </c>
      <c r="P8" s="20">
        <v>300</v>
      </c>
      <c r="Q8" s="23" t="s">
        <v>52</v>
      </c>
    </row>
    <row r="9" spans="1:17" ht="15.75" customHeight="1">
      <c r="A9" s="9">
        <v>43838</v>
      </c>
      <c r="B9" s="10" t="s">
        <v>17</v>
      </c>
      <c r="C9" s="10" t="s">
        <v>53</v>
      </c>
      <c r="D9" s="10">
        <v>4.7</v>
      </c>
      <c r="E9" s="10" t="s">
        <v>19</v>
      </c>
      <c r="F9" s="10" t="s">
        <v>20</v>
      </c>
      <c r="G9" s="10">
        <v>9</v>
      </c>
      <c r="H9" s="10"/>
      <c r="I9" s="10" t="s">
        <v>54</v>
      </c>
      <c r="J9" s="10" t="s">
        <v>55</v>
      </c>
      <c r="K9" s="12">
        <v>0</v>
      </c>
      <c r="L9" s="13">
        <v>10</v>
      </c>
      <c r="M9" s="13"/>
      <c r="N9" s="14">
        <f>LOG(K9+([1]Values!$D$8*L9)+([1]Values!$D$9*M9)+(O9*[1]Values!D$10)+(P9*[1]Values!$D$11)+1)</f>
        <v>0.57009395066514579</v>
      </c>
      <c r="O9" s="16">
        <v>20</v>
      </c>
      <c r="P9" s="11"/>
      <c r="Q9" s="15" t="s">
        <v>23</v>
      </c>
    </row>
    <row r="10" spans="1:17" ht="15.75" customHeight="1">
      <c r="A10" s="9">
        <v>43838</v>
      </c>
      <c r="B10" s="10" t="s">
        <v>44</v>
      </c>
      <c r="C10" s="10" t="s">
        <v>57</v>
      </c>
      <c r="D10" s="10">
        <v>4.8</v>
      </c>
      <c r="E10" s="10" t="s">
        <v>19</v>
      </c>
      <c r="F10" s="10" t="s">
        <v>20</v>
      </c>
      <c r="G10" s="10"/>
      <c r="H10" s="10"/>
      <c r="I10" s="10" t="s">
        <v>58</v>
      </c>
      <c r="J10" s="10" t="s">
        <v>59</v>
      </c>
      <c r="K10" s="12">
        <v>0</v>
      </c>
      <c r="L10" s="13">
        <v>0</v>
      </c>
      <c r="M10" s="13">
        <v>0</v>
      </c>
      <c r="N10" s="14">
        <f>LOG(K10+([1]Values!$D$8*L10)+([1]Values!$D$9*M10)+(O10*[1]Values!D$10)+(P10*[1]Values!$D$11)+1)</f>
        <v>1.3343139224851655E-2</v>
      </c>
      <c r="O10" s="11">
        <v>0</v>
      </c>
      <c r="P10" s="11">
        <v>1</v>
      </c>
      <c r="Q10" s="15" t="s">
        <v>23</v>
      </c>
    </row>
    <row r="11" spans="1:17" ht="15.75" customHeight="1">
      <c r="A11" s="9">
        <v>43840</v>
      </c>
      <c r="B11" s="10" t="s">
        <v>39</v>
      </c>
      <c r="C11" s="10" t="s">
        <v>40</v>
      </c>
      <c r="D11" s="10">
        <v>5.2</v>
      </c>
      <c r="E11" s="10" t="s">
        <v>41</v>
      </c>
      <c r="F11" s="10" t="s">
        <v>20</v>
      </c>
      <c r="G11" s="10"/>
      <c r="H11" s="10"/>
      <c r="I11" s="10" t="s">
        <v>50</v>
      </c>
      <c r="J11" s="10" t="s">
        <v>60</v>
      </c>
      <c r="K11" s="12">
        <v>0</v>
      </c>
      <c r="L11" s="13">
        <v>0</v>
      </c>
      <c r="M11" s="13">
        <v>0</v>
      </c>
      <c r="N11" s="14">
        <f>LOG(K11+([1]Values!$D$8*L11)+([1]Values!$D$9*M11)+(O11*[1]Values!D$10)+(P11*[1]Values!$D$11)+1)</f>
        <v>1.9547942558039232E-2</v>
      </c>
      <c r="O11" s="16">
        <v>5</v>
      </c>
      <c r="P11" s="11">
        <v>0</v>
      </c>
      <c r="Q11" s="15" t="s">
        <v>23</v>
      </c>
    </row>
    <row r="12" spans="1:17" ht="15.75" customHeight="1">
      <c r="A12" s="9">
        <v>43841</v>
      </c>
      <c r="B12" s="10" t="s">
        <v>39</v>
      </c>
      <c r="C12" s="10" t="s">
        <v>40</v>
      </c>
      <c r="D12" s="11">
        <v>5.9</v>
      </c>
      <c r="E12" s="10" t="s">
        <v>41</v>
      </c>
      <c r="F12" s="10" t="s">
        <v>20</v>
      </c>
      <c r="G12" s="10"/>
      <c r="H12" s="10"/>
      <c r="I12" s="24">
        <v>44060</v>
      </c>
      <c r="J12" s="10" t="s">
        <v>60</v>
      </c>
      <c r="K12" s="12">
        <v>0</v>
      </c>
      <c r="L12" s="13">
        <v>0</v>
      </c>
      <c r="M12" s="13"/>
      <c r="N12" s="14">
        <f>LOG(K12+([1]Values!$D$8*L12)+([1]Values!$D$9*M12)+(O12*[1]Values!D$10)+(P12*[1]Values!$D$11)+1)</f>
        <v>0.24856104536977494</v>
      </c>
      <c r="O12" s="16">
        <v>50</v>
      </c>
      <c r="P12" s="16">
        <v>10</v>
      </c>
      <c r="Q12" s="15" t="s">
        <v>23</v>
      </c>
    </row>
    <row r="13" spans="1:17" ht="15.75" customHeight="1">
      <c r="A13" s="25" t="s">
        <v>61</v>
      </c>
      <c r="B13" s="10" t="s">
        <v>62</v>
      </c>
      <c r="C13" s="10" t="s">
        <v>63</v>
      </c>
      <c r="D13" s="10">
        <v>4.2</v>
      </c>
      <c r="E13" s="10" t="s">
        <v>41</v>
      </c>
      <c r="F13" s="10" t="s">
        <v>64</v>
      </c>
      <c r="G13" s="10">
        <v>4</v>
      </c>
      <c r="H13" s="10"/>
      <c r="I13" s="10" t="s">
        <v>65</v>
      </c>
      <c r="J13" s="10" t="s">
        <v>66</v>
      </c>
      <c r="K13" s="12">
        <v>0</v>
      </c>
      <c r="L13" s="13">
        <v>0</v>
      </c>
      <c r="M13" s="13"/>
      <c r="N13" s="14">
        <f>LOG(K13+([1]Values!$D$8*L13)+([1]Values!$D$9*M13)+(O13*[1]Values!D$10)+(P13*[1]Values!$D$11)+1)</f>
        <v>1.4693107138648376</v>
      </c>
      <c r="O13" s="16">
        <v>1980</v>
      </c>
      <c r="P13" s="11">
        <v>328</v>
      </c>
      <c r="Q13" s="15" t="s">
        <v>23</v>
      </c>
    </row>
    <row r="14" spans="1:17" ht="15.75" customHeight="1">
      <c r="A14" s="9">
        <v>43843</v>
      </c>
      <c r="B14" s="10" t="s">
        <v>67</v>
      </c>
      <c r="C14" s="10" t="s">
        <v>68</v>
      </c>
      <c r="D14" s="10">
        <v>3.8</v>
      </c>
      <c r="E14" s="10" t="s">
        <v>19</v>
      </c>
      <c r="F14" s="10" t="s">
        <v>69</v>
      </c>
      <c r="G14" s="10">
        <v>1</v>
      </c>
      <c r="H14" s="10"/>
      <c r="I14" s="10" t="s">
        <v>70</v>
      </c>
      <c r="J14" s="10" t="s">
        <v>71</v>
      </c>
      <c r="K14" s="12">
        <v>0</v>
      </c>
      <c r="L14" s="13">
        <v>0</v>
      </c>
      <c r="M14" s="13">
        <v>0</v>
      </c>
      <c r="N14" s="14">
        <f>LOG(K14+([1]Values!$D$8*L14)+([1]Values!$D$9*M14)+(O14*[1]Values!D$10)+(P14*[1]Values!$D$11)+1)</f>
        <v>0.15055763920514015</v>
      </c>
      <c r="O14" s="11">
        <v>45</v>
      </c>
      <c r="P14" s="11">
        <v>0</v>
      </c>
      <c r="Q14" s="15" t="s">
        <v>23</v>
      </c>
    </row>
    <row r="15" spans="1:17" ht="15.75" customHeight="1">
      <c r="A15" s="9">
        <v>43845</v>
      </c>
      <c r="B15" s="10" t="s">
        <v>72</v>
      </c>
      <c r="C15" s="10" t="s">
        <v>73</v>
      </c>
      <c r="D15" s="10">
        <v>5.4</v>
      </c>
      <c r="E15" s="10" t="s">
        <v>19</v>
      </c>
      <c r="F15" s="10" t="s">
        <v>20</v>
      </c>
      <c r="G15" s="10">
        <v>32</v>
      </c>
      <c r="H15" s="10"/>
      <c r="I15" s="10" t="s">
        <v>74</v>
      </c>
      <c r="J15" s="10" t="s">
        <v>75</v>
      </c>
      <c r="K15" s="12">
        <v>0</v>
      </c>
      <c r="L15" s="13">
        <v>1</v>
      </c>
      <c r="M15" s="13">
        <v>0</v>
      </c>
      <c r="N15" s="14">
        <f>LOG(K15+([1]Values!$D$8*L15)+([1]Values!$D$9*M15)+(O15*[1]Values!D$10)+(P15*[1]Values!$D$11)+1)</f>
        <v>0.11368908423782698</v>
      </c>
      <c r="O15" s="11">
        <v>5</v>
      </c>
      <c r="P15" s="11">
        <v>0</v>
      </c>
      <c r="Q15" s="15" t="s">
        <v>23</v>
      </c>
    </row>
    <row r="16" spans="1:17" ht="15.75" customHeight="1">
      <c r="A16" s="9">
        <v>43845</v>
      </c>
      <c r="B16" s="10" t="s">
        <v>76</v>
      </c>
      <c r="C16" s="10" t="s">
        <v>77</v>
      </c>
      <c r="D16" s="10" t="s">
        <v>78</v>
      </c>
      <c r="E16" s="10" t="s">
        <v>19</v>
      </c>
      <c r="F16" s="10" t="s">
        <v>20</v>
      </c>
      <c r="G16" s="10"/>
      <c r="H16" s="10"/>
      <c r="I16" s="10" t="s">
        <v>79</v>
      </c>
      <c r="J16" s="10" t="s">
        <v>80</v>
      </c>
      <c r="K16" s="12">
        <v>0</v>
      </c>
      <c r="L16" s="13">
        <v>0</v>
      </c>
      <c r="M16" s="13">
        <v>0</v>
      </c>
      <c r="N16" s="14">
        <f>LOG(K16+([1]Values!$D$8*L16)+([1]Values!$D$9*M16)+(O16*[1]Values!D$10)+(P16*[1]Values!$D$11)+1)</f>
        <v>7.925070175666819E-3</v>
      </c>
      <c r="O16" s="11">
        <v>2</v>
      </c>
      <c r="P16" s="11">
        <v>0</v>
      </c>
      <c r="Q16" s="15" t="s">
        <v>23</v>
      </c>
    </row>
    <row r="17" spans="1:17" ht="15.75" customHeight="1">
      <c r="A17" s="9">
        <v>43845</v>
      </c>
      <c r="B17" s="10" t="s">
        <v>39</v>
      </c>
      <c r="C17" s="10" t="s">
        <v>40</v>
      </c>
      <c r="D17" s="10">
        <v>5.2</v>
      </c>
      <c r="E17" s="10" t="s">
        <v>41</v>
      </c>
      <c r="F17" s="10" t="s">
        <v>20</v>
      </c>
      <c r="G17" s="10">
        <v>5</v>
      </c>
      <c r="H17" s="10"/>
      <c r="I17" s="10" t="s">
        <v>81</v>
      </c>
      <c r="J17" s="10" t="s">
        <v>82</v>
      </c>
      <c r="K17" s="12">
        <v>0</v>
      </c>
      <c r="L17" s="13">
        <v>0</v>
      </c>
      <c r="M17" s="13"/>
      <c r="N17" s="14">
        <f>LOG(K17+([1]Values!$D$8*L17)+([1]Values!$D$9*M17)+(O17*[1]Values!D$10)+(P17*[1]Values!$D$11)+1)</f>
        <v>3.9806120691489328E-3</v>
      </c>
      <c r="O17" s="16">
        <v>1</v>
      </c>
      <c r="P17" s="11"/>
      <c r="Q17" s="15" t="s">
        <v>23</v>
      </c>
    </row>
    <row r="18" spans="1:17" ht="15.75" customHeight="1">
      <c r="A18" s="9">
        <v>43846</v>
      </c>
      <c r="B18" s="10" t="s">
        <v>83</v>
      </c>
      <c r="C18" s="10" t="s">
        <v>84</v>
      </c>
      <c r="D18" s="11">
        <v>5.6</v>
      </c>
      <c r="E18" s="10" t="s">
        <v>19</v>
      </c>
      <c r="F18" s="10" t="s">
        <v>20</v>
      </c>
      <c r="G18" s="10">
        <v>16</v>
      </c>
      <c r="H18" s="10"/>
      <c r="I18" s="10" t="s">
        <v>85</v>
      </c>
      <c r="J18" s="10" t="s">
        <v>86</v>
      </c>
      <c r="K18" s="12">
        <v>0</v>
      </c>
      <c r="L18" s="13">
        <v>0</v>
      </c>
      <c r="M18" s="13"/>
      <c r="N18" s="14">
        <f>LOG(K18+([1]Values!$D$8*L18)+([1]Values!$D$9*M18)+(O18*[1]Values!D$10)+(P18*[1]Values!$D$11)+1)</f>
        <v>0.21847144526731196</v>
      </c>
      <c r="O18" s="11">
        <v>71</v>
      </c>
      <c r="P18" s="11"/>
      <c r="Q18" s="15" t="s">
        <v>23</v>
      </c>
    </row>
    <row r="19" spans="1:17" ht="15.75" customHeight="1">
      <c r="A19" s="9">
        <v>43847</v>
      </c>
      <c r="B19" s="10" t="s">
        <v>33</v>
      </c>
      <c r="C19" s="10" t="s">
        <v>34</v>
      </c>
      <c r="D19" s="10">
        <v>5.3</v>
      </c>
      <c r="E19" s="10" t="s">
        <v>19</v>
      </c>
      <c r="F19" s="10" t="s">
        <v>20</v>
      </c>
      <c r="G19" s="10">
        <v>27</v>
      </c>
      <c r="H19" s="10"/>
      <c r="I19" s="10" t="s">
        <v>87</v>
      </c>
      <c r="J19" s="10" t="s">
        <v>88</v>
      </c>
      <c r="K19" s="12">
        <v>0</v>
      </c>
      <c r="L19" s="13">
        <v>0</v>
      </c>
      <c r="M19" s="18">
        <v>500</v>
      </c>
      <c r="N19" s="14">
        <f>LOG(K19+([1]Values!$D$8*L19)+([1]Values!$D$9*M19)+(O19*[1]Values!D$10)+(P19*[1]Values!$D$11)+1)</f>
        <v>1.3378132341404985</v>
      </c>
      <c r="O19" s="11">
        <v>1260</v>
      </c>
      <c r="P19" s="11"/>
      <c r="Q19" s="15" t="s">
        <v>23</v>
      </c>
    </row>
    <row r="20" spans="1:17" ht="15.75" customHeight="1">
      <c r="A20" s="9">
        <v>43847</v>
      </c>
      <c r="B20" s="10" t="s">
        <v>83</v>
      </c>
      <c r="C20" s="10" t="s">
        <v>84</v>
      </c>
      <c r="D20" s="10">
        <v>5.4</v>
      </c>
      <c r="E20" s="10" t="s">
        <v>19</v>
      </c>
      <c r="F20" s="10" t="s">
        <v>20</v>
      </c>
      <c r="G20" s="10">
        <v>20</v>
      </c>
      <c r="H20" s="10"/>
      <c r="I20" s="10" t="s">
        <v>89</v>
      </c>
      <c r="J20" s="10" t="s">
        <v>90</v>
      </c>
      <c r="K20" s="12">
        <v>0</v>
      </c>
      <c r="L20" s="13">
        <v>0</v>
      </c>
      <c r="M20" s="13"/>
      <c r="N20" s="14">
        <f>LOG(K20+([1]Values!$D$8*L20)+([1]Values!$D$9*M20)+(O20*[1]Values!D$10)+(P20*[1]Values!$D$11)+1)</f>
        <v>3.8253784164563889E-2</v>
      </c>
      <c r="O20" s="16">
        <v>10</v>
      </c>
      <c r="P20" s="11">
        <v>0</v>
      </c>
      <c r="Q20" s="15" t="s">
        <v>23</v>
      </c>
    </row>
    <row r="21" spans="1:17" ht="15.75" customHeight="1">
      <c r="A21" s="19">
        <v>43849</v>
      </c>
      <c r="B21" s="20" t="s">
        <v>83</v>
      </c>
      <c r="C21" s="20" t="s">
        <v>84</v>
      </c>
      <c r="D21" s="20">
        <v>6.4</v>
      </c>
      <c r="E21" s="20" t="s">
        <v>19</v>
      </c>
      <c r="F21" s="20" t="s">
        <v>20</v>
      </c>
      <c r="G21" s="20">
        <v>16</v>
      </c>
      <c r="H21" s="20"/>
      <c r="I21" s="20" t="s">
        <v>89</v>
      </c>
      <c r="J21" s="20" t="s">
        <v>91</v>
      </c>
      <c r="K21" s="12">
        <v>1</v>
      </c>
      <c r="L21" s="21">
        <v>2</v>
      </c>
      <c r="M21" s="21">
        <v>4827</v>
      </c>
      <c r="N21" s="22">
        <f>LOG(K21+([1]Values!$D$8*L21)+([1]Values!$D$9*M21)+(O21*[1]Values!D$10)+(P21*[1]Values!$D$11)+1)</f>
        <v>2.0016937684663927</v>
      </c>
      <c r="O21" s="20">
        <v>1007</v>
      </c>
      <c r="P21" s="20">
        <v>4</v>
      </c>
      <c r="Q21" s="23" t="s">
        <v>23</v>
      </c>
    </row>
    <row r="22" spans="1:17" ht="15.75" customHeight="1">
      <c r="A22" s="9">
        <v>43849</v>
      </c>
      <c r="B22" s="10" t="s">
        <v>44</v>
      </c>
      <c r="C22" s="10" t="s">
        <v>92</v>
      </c>
      <c r="D22" s="11">
        <v>6.1</v>
      </c>
      <c r="E22" s="10" t="s">
        <v>19</v>
      </c>
      <c r="F22" s="10" t="s">
        <v>20</v>
      </c>
      <c r="G22" s="10">
        <v>132</v>
      </c>
      <c r="H22" s="10"/>
      <c r="I22" s="10" t="s">
        <v>93</v>
      </c>
      <c r="J22" s="10" t="s">
        <v>94</v>
      </c>
      <c r="K22" s="12">
        <v>0</v>
      </c>
      <c r="L22" s="13">
        <v>0</v>
      </c>
      <c r="M22" s="13">
        <v>0</v>
      </c>
      <c r="N22" s="14">
        <f>LOG(K22+([1]Values!$D$8*L22)+([1]Values!$D$9*M22)+(O22*[1]Values!D$10)+(P22*[1]Values!$D$11)+1)</f>
        <v>1.9547942558039232E-2</v>
      </c>
      <c r="O22" s="16">
        <v>5</v>
      </c>
      <c r="P22" s="11">
        <v>0</v>
      </c>
      <c r="Q22" s="15" t="s">
        <v>23</v>
      </c>
    </row>
    <row r="23" spans="1:17" ht="15.75" customHeight="1">
      <c r="A23" s="9">
        <v>43849</v>
      </c>
      <c r="B23" s="10" t="s">
        <v>39</v>
      </c>
      <c r="C23" s="10" t="s">
        <v>95</v>
      </c>
      <c r="D23" s="10">
        <v>4.5</v>
      </c>
      <c r="E23" s="10" t="s">
        <v>19</v>
      </c>
      <c r="F23" s="10" t="s">
        <v>96</v>
      </c>
      <c r="G23" s="10">
        <v>5</v>
      </c>
      <c r="H23" s="10" t="s">
        <v>35</v>
      </c>
      <c r="I23" s="10" t="s">
        <v>97</v>
      </c>
      <c r="J23" s="10" t="s">
        <v>98</v>
      </c>
      <c r="K23" s="12">
        <v>0</v>
      </c>
      <c r="L23" s="13">
        <v>0</v>
      </c>
      <c r="M23" s="13">
        <v>0</v>
      </c>
      <c r="N23" s="14">
        <f>LOG(K23+([1]Values!$D$8*L23)+([1]Values!$D$9*M23)+(O23*[1]Values!D$10)+(P23*[1]Values!$D$11)+1)</f>
        <v>1.1834025150509769E-2</v>
      </c>
      <c r="O23" s="11">
        <v>3</v>
      </c>
      <c r="P23" s="11"/>
      <c r="Q23" s="15" t="s">
        <v>23</v>
      </c>
    </row>
    <row r="24" spans="1:17" ht="15.75" customHeight="1">
      <c r="A24" s="9">
        <v>43850</v>
      </c>
      <c r="B24" s="10" t="s">
        <v>39</v>
      </c>
      <c r="C24" s="10" t="s">
        <v>99</v>
      </c>
      <c r="D24" s="10">
        <v>3.8</v>
      </c>
      <c r="E24" s="10" t="s">
        <v>19</v>
      </c>
      <c r="F24" s="10" t="s">
        <v>20</v>
      </c>
      <c r="G24" s="10">
        <v>16</v>
      </c>
      <c r="H24" s="10"/>
      <c r="I24" s="10" t="s">
        <v>100</v>
      </c>
      <c r="J24" s="10" t="s">
        <v>101</v>
      </c>
      <c r="K24" s="12">
        <v>0</v>
      </c>
      <c r="L24" s="13">
        <v>0</v>
      </c>
      <c r="M24" s="13">
        <v>0</v>
      </c>
      <c r="N24" s="14">
        <f>LOG(K24+([1]Values!$D$8*L24)+([1]Values!$D$9*M24)+(O24*[1]Values!D$10)+(P24*[1]Values!$D$11)+1)</f>
        <v>3.9806120691489328E-3</v>
      </c>
      <c r="O24" s="11">
        <v>1</v>
      </c>
      <c r="P24" s="11">
        <v>0</v>
      </c>
      <c r="Q24" s="15" t="s">
        <v>23</v>
      </c>
    </row>
    <row r="25" spans="1:17" ht="15.75" customHeight="1">
      <c r="A25" s="9">
        <v>43852</v>
      </c>
      <c r="B25" s="10" t="s">
        <v>44</v>
      </c>
      <c r="C25" s="10" t="s">
        <v>45</v>
      </c>
      <c r="D25" s="10">
        <v>4.7</v>
      </c>
      <c r="E25" s="10" t="s">
        <v>19</v>
      </c>
      <c r="F25" s="10" t="s">
        <v>20</v>
      </c>
      <c r="G25" s="10">
        <v>16</v>
      </c>
      <c r="H25" s="10"/>
      <c r="I25" s="10" t="s">
        <v>102</v>
      </c>
      <c r="J25" s="10" t="s">
        <v>103</v>
      </c>
      <c r="K25" s="12">
        <v>0</v>
      </c>
      <c r="L25" s="13">
        <v>0</v>
      </c>
      <c r="M25" s="13">
        <v>0</v>
      </c>
      <c r="N25" s="14">
        <f>LOG(K25+([1]Values!$D$8*L25)+([1]Values!$D$9*M25)+(O25*[1]Values!D$10)+(P25*[1]Values!$D$11)+1)</f>
        <v>3.9806120691489328E-3</v>
      </c>
      <c r="O25" s="11">
        <v>1</v>
      </c>
      <c r="P25" s="11">
        <v>0</v>
      </c>
      <c r="Q25" s="15" t="s">
        <v>23</v>
      </c>
    </row>
    <row r="26" spans="1:17" ht="15.75" customHeight="1">
      <c r="A26" s="9">
        <v>43852</v>
      </c>
      <c r="B26" s="10" t="s">
        <v>105</v>
      </c>
      <c r="C26" s="10" t="s">
        <v>106</v>
      </c>
      <c r="D26" s="10">
        <v>5.4</v>
      </c>
      <c r="E26" s="10" t="s">
        <v>107</v>
      </c>
      <c r="F26" s="10" t="s">
        <v>20</v>
      </c>
      <c r="G26" s="10">
        <v>9</v>
      </c>
      <c r="H26" s="10"/>
      <c r="I26" s="10" t="s">
        <v>108</v>
      </c>
      <c r="J26" s="10" t="s">
        <v>109</v>
      </c>
      <c r="K26" s="12">
        <v>0</v>
      </c>
      <c r="L26" s="13">
        <v>4</v>
      </c>
      <c r="M26" s="13">
        <v>1000</v>
      </c>
      <c r="N26" s="14">
        <f>LOG(K26+([1]Values!$D$8*L26)+([1]Values!$D$9*M26)+(O26*[1]Values!D$10)+(P26*[1]Values!$D$11)+1)</f>
        <v>1.5710724603867552</v>
      </c>
      <c r="O26" s="11">
        <v>802</v>
      </c>
      <c r="P26" s="11">
        <v>305</v>
      </c>
      <c r="Q26" s="15" t="s">
        <v>23</v>
      </c>
    </row>
    <row r="27" spans="1:17" ht="15.75" customHeight="1">
      <c r="A27" s="9">
        <v>43852</v>
      </c>
      <c r="B27" s="10" t="s">
        <v>17</v>
      </c>
      <c r="C27" s="10" t="s">
        <v>110</v>
      </c>
      <c r="D27" s="10">
        <v>5.2</v>
      </c>
      <c r="E27" s="10" t="s">
        <v>19</v>
      </c>
      <c r="F27" s="10" t="s">
        <v>20</v>
      </c>
      <c r="G27" s="10">
        <v>21</v>
      </c>
      <c r="H27" s="10"/>
      <c r="I27" s="26">
        <v>44102</v>
      </c>
      <c r="J27" s="10" t="s">
        <v>111</v>
      </c>
      <c r="K27" s="12">
        <v>0</v>
      </c>
      <c r="L27" s="13">
        <v>0</v>
      </c>
      <c r="M27" s="13"/>
      <c r="N27" s="14">
        <f>LOG(K27+([1]Values!$D$8*L27)+([1]Values!$D$9*M27)+(O27*[1]Values!D$10)+(P27*[1]Values!$D$11)+1)</f>
        <v>3.8253784164563889E-2</v>
      </c>
      <c r="O27" s="16">
        <v>10</v>
      </c>
      <c r="P27" s="11"/>
      <c r="Q27" s="15" t="s">
        <v>23</v>
      </c>
    </row>
    <row r="28" spans="1:17" ht="12.3">
      <c r="A28" s="9">
        <v>43853</v>
      </c>
      <c r="B28" s="10" t="s">
        <v>105</v>
      </c>
      <c r="C28" s="10" t="s">
        <v>112</v>
      </c>
      <c r="D28" s="10">
        <v>4.5</v>
      </c>
      <c r="E28" s="10" t="s">
        <v>19</v>
      </c>
      <c r="F28" s="10" t="s">
        <v>20</v>
      </c>
      <c r="G28" s="10">
        <v>13</v>
      </c>
      <c r="H28" s="10"/>
      <c r="I28" s="10" t="s">
        <v>113</v>
      </c>
      <c r="J28" s="10" t="s">
        <v>114</v>
      </c>
      <c r="K28" s="12">
        <v>0</v>
      </c>
      <c r="L28" s="13">
        <v>0</v>
      </c>
      <c r="M28" s="13">
        <v>0</v>
      </c>
      <c r="N28" s="14">
        <f>LOG(K28+([1]Values!$D$8*L28)+([1]Values!$D$9*M28)+(O28*[1]Values!D$10)+(P28*[1]Values!$D$11)+1)</f>
        <v>7.925070175666819E-3</v>
      </c>
      <c r="O28" s="11">
        <v>2</v>
      </c>
      <c r="P28" s="11">
        <v>0</v>
      </c>
      <c r="Q28" s="15" t="s">
        <v>23</v>
      </c>
    </row>
    <row r="29" spans="1:17" ht="12.3">
      <c r="A29" s="9">
        <v>43854</v>
      </c>
      <c r="B29" s="10" t="s">
        <v>72</v>
      </c>
      <c r="C29" s="10" t="s">
        <v>115</v>
      </c>
      <c r="D29" s="10">
        <v>5.4</v>
      </c>
      <c r="E29" s="10" t="s">
        <v>19</v>
      </c>
      <c r="F29" s="10" t="s">
        <v>20</v>
      </c>
      <c r="G29" s="10">
        <v>78</v>
      </c>
      <c r="H29" s="10"/>
      <c r="I29" s="10" t="s">
        <v>116</v>
      </c>
      <c r="J29" s="10" t="s">
        <v>117</v>
      </c>
      <c r="K29" s="12">
        <v>0</v>
      </c>
      <c r="L29" s="13">
        <v>0</v>
      </c>
      <c r="M29" s="13">
        <v>0</v>
      </c>
      <c r="N29" s="14">
        <f>LOG(K29+([1]Values!$D$8*L29)+([1]Values!$D$9*M29)+(O29*[1]Values!D$10)+(P29*[1]Values!$D$11)+1)</f>
        <v>1.1834025150509769E-2</v>
      </c>
      <c r="O29" s="11">
        <v>3</v>
      </c>
      <c r="P29" s="11">
        <v>0</v>
      </c>
      <c r="Q29" s="15" t="s">
        <v>23</v>
      </c>
    </row>
    <row r="30" spans="1:17" ht="12.3">
      <c r="A30" s="9">
        <v>43854</v>
      </c>
      <c r="B30" s="10" t="s">
        <v>118</v>
      </c>
      <c r="C30" s="10" t="s">
        <v>119</v>
      </c>
      <c r="D30" s="10">
        <v>4.9000000000000004</v>
      </c>
      <c r="E30" s="10" t="s">
        <v>19</v>
      </c>
      <c r="F30" s="10" t="s">
        <v>20</v>
      </c>
      <c r="G30" s="10">
        <v>10</v>
      </c>
      <c r="H30" s="10"/>
      <c r="I30" s="10" t="s">
        <v>120</v>
      </c>
      <c r="J30" s="10" t="s">
        <v>121</v>
      </c>
      <c r="K30" s="12">
        <v>0</v>
      </c>
      <c r="L30" s="13">
        <v>0</v>
      </c>
      <c r="M30" s="13">
        <v>0</v>
      </c>
      <c r="N30" s="14">
        <f>LOG(K30+([1]Values!$D$8*L30)+([1]Values!$D$9*M30)+(O30*[1]Values!D$10)+(P30*[1]Values!$D$11)+1)</f>
        <v>0.10593063354901139</v>
      </c>
      <c r="O30" s="11">
        <v>30</v>
      </c>
      <c r="P30" s="11">
        <v>0</v>
      </c>
      <c r="Q30" s="15" t="s">
        <v>23</v>
      </c>
    </row>
    <row r="31" spans="1:17" ht="12.3">
      <c r="A31" s="19">
        <v>43854</v>
      </c>
      <c r="B31" s="20" t="s">
        <v>105</v>
      </c>
      <c r="C31" s="20" t="s">
        <v>122</v>
      </c>
      <c r="D31" s="20">
        <v>6.8</v>
      </c>
      <c r="E31" s="20" t="s">
        <v>19</v>
      </c>
      <c r="F31" s="20" t="s">
        <v>20</v>
      </c>
      <c r="G31" s="20">
        <v>10</v>
      </c>
      <c r="H31" s="20" t="s">
        <v>123</v>
      </c>
      <c r="I31" s="20" t="s">
        <v>124</v>
      </c>
      <c r="J31" s="20" t="s">
        <v>125</v>
      </c>
      <c r="K31" s="12">
        <v>41</v>
      </c>
      <c r="L31" s="21">
        <v>1631</v>
      </c>
      <c r="M31" s="27">
        <v>40000</v>
      </c>
      <c r="N31" s="22">
        <f>LOG(K31+([1]Values!$D$8*L31)+([1]Values!$D$9*M31)+(O31*[1]Values!D$10)+(P31*[1]Values!$D$11)+1)</f>
        <v>3.1614102222056215</v>
      </c>
      <c r="O31" s="20">
        <v>2691</v>
      </c>
      <c r="P31" s="20">
        <v>7600</v>
      </c>
      <c r="Q31" s="15" t="s">
        <v>23</v>
      </c>
    </row>
    <row r="32" spans="1:17" ht="12.3">
      <c r="A32" s="9">
        <v>43855</v>
      </c>
      <c r="B32" s="10" t="s">
        <v>24</v>
      </c>
      <c r="C32" s="10" t="s">
        <v>126</v>
      </c>
      <c r="D32" s="10">
        <v>4.5999999999999996</v>
      </c>
      <c r="E32" s="10" t="s">
        <v>19</v>
      </c>
      <c r="F32" s="10" t="s">
        <v>20</v>
      </c>
      <c r="G32" s="10"/>
      <c r="H32" s="10"/>
      <c r="I32" s="10" t="s">
        <v>127</v>
      </c>
      <c r="J32" s="10" t="s">
        <v>128</v>
      </c>
      <c r="K32" s="12">
        <v>0</v>
      </c>
      <c r="L32" s="13">
        <v>0</v>
      </c>
      <c r="M32" s="13"/>
      <c r="N32" s="14">
        <f>LOG(K32+([1]Values!$D$8*L32)+([1]Values!$D$9*M32)+(O32*[1]Values!D$10)+(P32*[1]Values!$D$11)+1)</f>
        <v>7.3409152013735726E-2</v>
      </c>
      <c r="O32" s="16">
        <v>20</v>
      </c>
      <c r="P32" s="11"/>
      <c r="Q32" s="15" t="s">
        <v>23</v>
      </c>
    </row>
    <row r="33" spans="1:17" ht="12.3">
      <c r="A33" s="9">
        <v>43857</v>
      </c>
      <c r="B33" s="10" t="s">
        <v>17</v>
      </c>
      <c r="C33" s="10" t="s">
        <v>129</v>
      </c>
      <c r="D33" s="10">
        <v>5.4</v>
      </c>
      <c r="E33" s="10" t="s">
        <v>19</v>
      </c>
      <c r="F33" s="10" t="s">
        <v>20</v>
      </c>
      <c r="G33" s="10">
        <v>7</v>
      </c>
      <c r="H33" s="10"/>
      <c r="I33" s="10" t="s">
        <v>130</v>
      </c>
      <c r="J33" s="10" t="s">
        <v>131</v>
      </c>
      <c r="K33" s="12">
        <v>0</v>
      </c>
      <c r="L33" s="13">
        <v>33</v>
      </c>
      <c r="M33" s="13">
        <v>500</v>
      </c>
      <c r="N33" s="14">
        <f>LOG(K33+([1]Values!$D$8*L33)+([1]Values!$D$9*M33)+(O33*[1]Values!D$10)+(P33*[1]Values!$D$11)+1)</f>
        <v>1.2698290552226257</v>
      </c>
      <c r="O33" s="16">
        <v>10</v>
      </c>
      <c r="P33" s="11"/>
      <c r="Q33" s="15" t="s">
        <v>23</v>
      </c>
    </row>
    <row r="34" spans="1:17" ht="12.3">
      <c r="A34" s="9">
        <v>43858</v>
      </c>
      <c r="B34" s="10" t="s">
        <v>132</v>
      </c>
      <c r="C34" s="10" t="s">
        <v>133</v>
      </c>
      <c r="D34" s="10">
        <v>3.4</v>
      </c>
      <c r="E34" s="10" t="s">
        <v>19</v>
      </c>
      <c r="F34" s="10" t="s">
        <v>20</v>
      </c>
      <c r="G34" s="10">
        <v>5</v>
      </c>
      <c r="H34" s="10" t="s">
        <v>134</v>
      </c>
      <c r="I34" s="10" t="s">
        <v>135</v>
      </c>
      <c r="J34" s="26">
        <v>43967</v>
      </c>
      <c r="K34" s="12">
        <v>0</v>
      </c>
      <c r="L34" s="13">
        <v>0</v>
      </c>
      <c r="M34" s="13"/>
      <c r="N34" s="14">
        <f>LOG(K34+([1]Values!$D$8*L34)+([1]Values!$D$9*M34)+(O34*[1]Values!D$10)+(P34*[1]Values!$D$11)+1)</f>
        <v>1.9547942558039232E-2</v>
      </c>
      <c r="O34" s="16">
        <v>5</v>
      </c>
      <c r="P34" s="11"/>
      <c r="Q34" s="15" t="s">
        <v>23</v>
      </c>
    </row>
    <row r="35" spans="1:17" ht="12.3">
      <c r="A35" s="9">
        <v>43858</v>
      </c>
      <c r="B35" s="10" t="s">
        <v>105</v>
      </c>
      <c r="C35" s="10" t="s">
        <v>106</v>
      </c>
      <c r="D35" s="10">
        <v>4.8</v>
      </c>
      <c r="E35" s="10" t="s">
        <v>107</v>
      </c>
      <c r="F35" s="10" t="s">
        <v>20</v>
      </c>
      <c r="G35" s="10"/>
      <c r="H35" s="10"/>
      <c r="I35" s="10" t="s">
        <v>136</v>
      </c>
      <c r="J35" s="10" t="s">
        <v>137</v>
      </c>
      <c r="K35" s="12">
        <v>0</v>
      </c>
      <c r="L35" s="13">
        <v>0</v>
      </c>
      <c r="M35" s="13"/>
      <c r="N35" s="14">
        <f>LOG(K35+([1]Values!$D$8*L35)+([1]Values!$D$9*M35)+(O35*[1]Values!D$10)+(P35*[1]Values!$D$11)+1)</f>
        <v>3.8859165991804424E-2</v>
      </c>
      <c r="O35" s="11"/>
      <c r="P35" s="11">
        <v>3</v>
      </c>
      <c r="Q35" s="15" t="s">
        <v>23</v>
      </c>
    </row>
    <row r="36" spans="1:17" ht="12.3">
      <c r="A36" s="9">
        <v>43858</v>
      </c>
      <c r="B36" s="10" t="s">
        <v>138</v>
      </c>
      <c r="C36" s="10" t="s">
        <v>139</v>
      </c>
      <c r="D36" s="11">
        <v>7.7</v>
      </c>
      <c r="E36" s="10" t="s">
        <v>19</v>
      </c>
      <c r="F36" s="10" t="s">
        <v>20</v>
      </c>
      <c r="G36" s="10"/>
      <c r="H36" s="10"/>
      <c r="I36" s="10" t="s">
        <v>140</v>
      </c>
      <c r="J36" s="10" t="s">
        <v>141</v>
      </c>
      <c r="K36" s="12">
        <v>0</v>
      </c>
      <c r="L36" s="13">
        <v>0</v>
      </c>
      <c r="M36" s="13">
        <v>0</v>
      </c>
      <c r="N36" s="14">
        <f>LOG(K36+([1]Values!$D$8*L36)+([1]Values!$D$9*M36)+(O36*[1]Values!D$10)+(P36*[1]Values!$D$11)+1)</f>
        <v>0.59963275532919125</v>
      </c>
      <c r="O36" s="11">
        <f t="shared" ref="O36:P36" si="0">SUM(O37:O39)</f>
        <v>320</v>
      </c>
      <c r="P36" s="11">
        <f t="shared" si="0"/>
        <v>1</v>
      </c>
      <c r="Q36" s="15"/>
    </row>
    <row r="37" spans="1:17" ht="12.3">
      <c r="A37" s="9"/>
      <c r="B37" s="10"/>
      <c r="C37" s="10"/>
      <c r="D37" s="10"/>
      <c r="E37" s="10"/>
      <c r="F37" s="10"/>
      <c r="G37" s="10"/>
      <c r="H37" s="10"/>
      <c r="I37" s="10"/>
      <c r="J37" s="10"/>
      <c r="K37" s="12">
        <v>0</v>
      </c>
      <c r="L37" s="13">
        <v>0</v>
      </c>
      <c r="M37" s="13">
        <v>0</v>
      </c>
      <c r="N37" s="14">
        <f>LOG(K37+([1]Values!$D$8*L37)+([1]Values!$D$9*M37)+(O37*[1]Values!D$10)+(P37*[1]Values!$D$11)+1)</f>
        <v>3.8253784164563889E-2</v>
      </c>
      <c r="O37" s="16">
        <v>10</v>
      </c>
      <c r="P37" s="11">
        <v>0</v>
      </c>
      <c r="Q37" s="15" t="s">
        <v>23</v>
      </c>
    </row>
    <row r="38" spans="1:17" ht="12.3">
      <c r="A38" s="9"/>
      <c r="B38" s="10"/>
      <c r="C38" s="10"/>
      <c r="D38" s="10"/>
      <c r="E38" s="10"/>
      <c r="F38" s="10"/>
      <c r="G38" s="10"/>
      <c r="H38" s="10"/>
      <c r="I38" s="10"/>
      <c r="J38" s="10"/>
      <c r="K38" s="12">
        <v>0</v>
      </c>
      <c r="L38" s="13">
        <v>0</v>
      </c>
      <c r="M38" s="13">
        <v>0</v>
      </c>
      <c r="N38" s="14">
        <f>LOG(K38+([1]Values!$D$8*L38)+([1]Values!$D$9*M38)+(O38*[1]Values!D$10)+(P38*[1]Values!$D$11)+1)</f>
        <v>0.57904581862703708</v>
      </c>
      <c r="O38" s="16">
        <v>300</v>
      </c>
      <c r="P38" s="11">
        <v>1</v>
      </c>
      <c r="Q38" s="15" t="s">
        <v>23</v>
      </c>
    </row>
    <row r="39" spans="1:17" ht="12.3">
      <c r="A39" s="9"/>
      <c r="B39" s="10"/>
      <c r="C39" s="10" t="s">
        <v>139</v>
      </c>
      <c r="D39" s="10"/>
      <c r="E39" s="10"/>
      <c r="F39" s="10"/>
      <c r="G39" s="10"/>
      <c r="H39" s="10"/>
      <c r="I39" s="10"/>
      <c r="J39" s="10"/>
      <c r="K39" s="12">
        <v>0</v>
      </c>
      <c r="L39" s="13">
        <v>0</v>
      </c>
      <c r="M39" s="13">
        <v>0</v>
      </c>
      <c r="N39" s="14">
        <f>LOG(K39+([1]Values!$D$8*L39)+([1]Values!$D$9*M39)+(O39*[1]Values!D$10)+(P39*[1]Values!$D$11)+1)</f>
        <v>3.8253784164563889E-2</v>
      </c>
      <c r="O39" s="16">
        <v>10</v>
      </c>
      <c r="P39" s="11">
        <v>0</v>
      </c>
      <c r="Q39" s="15" t="s">
        <v>144</v>
      </c>
    </row>
    <row r="40" spans="1:17" ht="12.3">
      <c r="A40" s="9"/>
      <c r="B40" s="10"/>
      <c r="C40" s="10"/>
      <c r="D40" s="10"/>
      <c r="E40" s="10"/>
      <c r="F40" s="10"/>
      <c r="G40" s="10"/>
      <c r="H40" s="10"/>
      <c r="I40" s="10"/>
      <c r="J40" s="10"/>
      <c r="K40" s="12">
        <v>0</v>
      </c>
      <c r="L40" s="13">
        <v>0</v>
      </c>
      <c r="M40" s="13">
        <v>0</v>
      </c>
      <c r="N40" s="14">
        <f>LOG(K40+([1]Values!$D$8*L40)+([1]Values!$D$9*M40)+(O40*[1]Values!D$10)+(P40*[1]Values!$D$11)+1)</f>
        <v>3.9806120691489328E-3</v>
      </c>
      <c r="O40" s="16">
        <v>1</v>
      </c>
      <c r="P40" s="11">
        <v>0</v>
      </c>
      <c r="Q40" s="15" t="s">
        <v>23</v>
      </c>
    </row>
    <row r="41" spans="1:17" ht="12.3">
      <c r="A41" s="9">
        <v>43859</v>
      </c>
      <c r="B41" s="10" t="s">
        <v>17</v>
      </c>
      <c r="C41" s="10" t="s">
        <v>145</v>
      </c>
      <c r="D41" s="10">
        <v>4.9000000000000004</v>
      </c>
      <c r="E41" s="10" t="s">
        <v>19</v>
      </c>
      <c r="F41" s="10" t="s">
        <v>20</v>
      </c>
      <c r="G41" s="10">
        <v>10</v>
      </c>
      <c r="H41" s="10"/>
      <c r="I41" s="10" t="s">
        <v>146</v>
      </c>
      <c r="J41" s="10" t="s">
        <v>147</v>
      </c>
      <c r="K41" s="12">
        <v>0</v>
      </c>
      <c r="L41" s="13">
        <v>0</v>
      </c>
      <c r="M41" s="13"/>
      <c r="N41" s="14">
        <f>LOG(K41+([1]Values!$D$8*L41)+([1]Values!$D$9*M41)+(O41*[1]Values!D$10)+(P41*[1]Values!$D$11)+1)</f>
        <v>0.28347834065011351</v>
      </c>
      <c r="O41" s="11">
        <v>100</v>
      </c>
      <c r="P41" s="11"/>
      <c r="Q41" s="15" t="s">
        <v>23</v>
      </c>
    </row>
    <row r="42" spans="1:17" ht="12.3">
      <c r="A42" s="9">
        <v>43860</v>
      </c>
      <c r="B42" s="10" t="s">
        <v>33</v>
      </c>
      <c r="C42" s="10" t="s">
        <v>148</v>
      </c>
      <c r="D42" s="10">
        <v>5.3</v>
      </c>
      <c r="E42" s="10" t="s">
        <v>19</v>
      </c>
      <c r="F42" s="10" t="s">
        <v>20</v>
      </c>
      <c r="G42" s="10">
        <v>17</v>
      </c>
      <c r="H42" s="10"/>
      <c r="I42" s="10">
        <v>17</v>
      </c>
      <c r="J42" s="10" t="s">
        <v>149</v>
      </c>
      <c r="K42" s="12">
        <v>0</v>
      </c>
      <c r="L42" s="13">
        <v>0</v>
      </c>
      <c r="M42" s="13">
        <v>0</v>
      </c>
      <c r="N42" s="14">
        <f>LOG(K42+([1]Values!$D$8*L42)+([1]Values!$D$9*M42)+(O42*[1]Values!D$10)+(P42*[1]Values!$D$11)+1)</f>
        <v>7.925070175666819E-3</v>
      </c>
      <c r="O42" s="11">
        <v>2</v>
      </c>
      <c r="P42" s="11">
        <v>0</v>
      </c>
      <c r="Q42" s="15" t="s">
        <v>23</v>
      </c>
    </row>
    <row r="43" spans="1:17" ht="12.3">
      <c r="A43" s="9">
        <v>43863</v>
      </c>
      <c r="B43" s="10" t="s">
        <v>83</v>
      </c>
      <c r="C43" s="10" t="s">
        <v>150</v>
      </c>
      <c r="D43" s="10">
        <v>5.0999999999999996</v>
      </c>
      <c r="E43" s="10" t="s">
        <v>19</v>
      </c>
      <c r="F43" s="10" t="s">
        <v>20</v>
      </c>
      <c r="G43" s="10">
        <v>21</v>
      </c>
      <c r="H43" s="10"/>
      <c r="I43" s="10" t="s">
        <v>151</v>
      </c>
      <c r="J43" s="10" t="s">
        <v>152</v>
      </c>
      <c r="K43" s="12">
        <v>0</v>
      </c>
      <c r="L43" s="13">
        <v>0</v>
      </c>
      <c r="M43" s="13">
        <v>208</v>
      </c>
      <c r="N43" s="14">
        <f>LOG(K43+([1]Values!$D$8*L43)+([1]Values!$D$9*M43)+(O43*[1]Values!D$10)+(P43*[1]Values!$D$11)+1)</f>
        <v>0.78525739361987401</v>
      </c>
      <c r="O43" s="11">
        <v>99</v>
      </c>
      <c r="P43" s="11">
        <v>12</v>
      </c>
      <c r="Q43" s="15" t="s">
        <v>23</v>
      </c>
    </row>
    <row r="44" spans="1:17" ht="12.3">
      <c r="A44" s="9">
        <v>43865</v>
      </c>
      <c r="B44" s="10" t="s">
        <v>39</v>
      </c>
      <c r="C44" s="10" t="s">
        <v>40</v>
      </c>
      <c r="D44" s="10">
        <v>5</v>
      </c>
      <c r="E44" s="10" t="s">
        <v>107</v>
      </c>
      <c r="F44" s="10" t="s">
        <v>20</v>
      </c>
      <c r="G44" s="10">
        <v>7</v>
      </c>
      <c r="H44" s="10"/>
      <c r="I44" s="10" t="s">
        <v>153</v>
      </c>
      <c r="J44" s="10" t="s">
        <v>154</v>
      </c>
      <c r="K44" s="12">
        <v>0</v>
      </c>
      <c r="L44" s="13">
        <v>0</v>
      </c>
      <c r="M44" s="13">
        <v>0</v>
      </c>
      <c r="N44" s="14">
        <f>LOG(K44+([1]Values!$D$8*L44)+([1]Values!$D$9*M44)+(O44*[1]Values!D$10)+(P44*[1]Values!$D$11)+1)</f>
        <v>3.8253784164563889E-2</v>
      </c>
      <c r="O44" s="16">
        <v>10</v>
      </c>
      <c r="P44" s="11"/>
      <c r="Q44" s="15" t="s">
        <v>23</v>
      </c>
    </row>
    <row r="45" spans="1:17" ht="12.3">
      <c r="A45" s="9">
        <v>43865</v>
      </c>
      <c r="B45" s="10" t="s">
        <v>105</v>
      </c>
      <c r="C45" s="10" t="s">
        <v>106</v>
      </c>
      <c r="D45" s="10">
        <v>4.8</v>
      </c>
      <c r="E45" s="10" t="s">
        <v>107</v>
      </c>
      <c r="F45" s="10" t="s">
        <v>20</v>
      </c>
      <c r="G45" s="10">
        <v>9</v>
      </c>
      <c r="H45" s="10"/>
      <c r="I45" s="10" t="s">
        <v>155</v>
      </c>
      <c r="J45" s="10" t="s">
        <v>137</v>
      </c>
      <c r="K45" s="12">
        <v>0</v>
      </c>
      <c r="L45" s="13">
        <v>0</v>
      </c>
      <c r="M45" s="13">
        <v>0</v>
      </c>
      <c r="N45" s="14">
        <f>LOG(K45+([1]Values!$D$8*L45)+([1]Values!$D$9*M45)+(O45*[1]Values!D$10)+(P45*[1]Values!$D$11)+1)</f>
        <v>2.1030533768540447E-2</v>
      </c>
      <c r="O45" s="11">
        <v>2</v>
      </c>
      <c r="P45" s="11">
        <v>1</v>
      </c>
      <c r="Q45" s="15" t="s">
        <v>23</v>
      </c>
    </row>
    <row r="46" spans="1:17" ht="12.3">
      <c r="A46" s="9">
        <v>43867</v>
      </c>
      <c r="B46" s="10" t="s">
        <v>156</v>
      </c>
      <c r="C46" s="10" t="s">
        <v>157</v>
      </c>
      <c r="D46" s="10">
        <v>4.7</v>
      </c>
      <c r="E46" s="10" t="s">
        <v>19</v>
      </c>
      <c r="F46" s="10" t="s">
        <v>20</v>
      </c>
      <c r="G46" s="10">
        <v>9</v>
      </c>
      <c r="H46" s="10"/>
      <c r="I46" s="10" t="s">
        <v>158</v>
      </c>
      <c r="J46" s="10" t="s">
        <v>159</v>
      </c>
      <c r="K46" s="12">
        <v>0</v>
      </c>
      <c r="L46" s="13">
        <v>0</v>
      </c>
      <c r="M46" s="13">
        <v>0</v>
      </c>
      <c r="N46" s="14">
        <f>LOG(K46+([1]Values!$D$8*L46)+([1]Values!$D$9*M46)+(O46*[1]Values!D$10)+(P46*[1]Values!$D$11)+1)</f>
        <v>1.9547942558039232E-2</v>
      </c>
      <c r="O46" s="16">
        <v>5</v>
      </c>
      <c r="P46" s="11">
        <v>0</v>
      </c>
      <c r="Q46" s="15" t="s">
        <v>23</v>
      </c>
    </row>
    <row r="47" spans="1:17" ht="12.3">
      <c r="A47" s="9">
        <v>43869</v>
      </c>
      <c r="B47" s="10" t="s">
        <v>24</v>
      </c>
      <c r="C47" s="10" t="s">
        <v>160</v>
      </c>
      <c r="D47" s="10">
        <v>4.7</v>
      </c>
      <c r="E47" s="10" t="s">
        <v>19</v>
      </c>
      <c r="F47" s="10" t="s">
        <v>20</v>
      </c>
      <c r="G47" s="10">
        <v>20</v>
      </c>
      <c r="H47" s="10"/>
      <c r="I47" s="24">
        <v>43860</v>
      </c>
      <c r="J47" s="10" t="s">
        <v>161</v>
      </c>
      <c r="K47" s="12">
        <v>0</v>
      </c>
      <c r="L47" s="13">
        <v>2</v>
      </c>
      <c r="M47" s="13"/>
      <c r="N47" s="14">
        <f>LOG(K47+([1]Values!$D$8*L47)+([1]Values!$D$9*M47)+(O47*[1]Values!D$10)+(P47*[1]Values!$D$11)+1)</f>
        <v>0.19457648445578921</v>
      </c>
      <c r="O47" s="16">
        <v>3</v>
      </c>
      <c r="P47" s="11">
        <v>1</v>
      </c>
      <c r="Q47" s="15" t="s">
        <v>23</v>
      </c>
    </row>
    <row r="48" spans="1:17" ht="12.3">
      <c r="A48" s="9">
        <v>43869</v>
      </c>
      <c r="B48" s="10" t="s">
        <v>44</v>
      </c>
      <c r="C48" s="10" t="s">
        <v>162</v>
      </c>
      <c r="D48" s="11">
        <v>5.6</v>
      </c>
      <c r="E48" s="10" t="s">
        <v>19</v>
      </c>
      <c r="F48" s="10" t="s">
        <v>20</v>
      </c>
      <c r="G48" s="10">
        <v>12</v>
      </c>
      <c r="H48" s="10"/>
      <c r="I48" s="10" t="s">
        <v>163</v>
      </c>
      <c r="J48" s="10" t="s">
        <v>164</v>
      </c>
      <c r="K48" s="12">
        <v>0</v>
      </c>
      <c r="L48" s="13">
        <v>0</v>
      </c>
      <c r="M48" s="13">
        <v>0</v>
      </c>
      <c r="N48" s="14">
        <f>LOG(K48+([1]Values!$D$8*L48)+([1]Values!$D$9*M48)+(O48*[1]Values!D$10)+(P48*[1]Values!$D$11)+1)</f>
        <v>8.6711381313129859E-2</v>
      </c>
      <c r="O48" s="11">
        <v>24</v>
      </c>
      <c r="P48" s="11">
        <v>0</v>
      </c>
      <c r="Q48" s="15" t="s">
        <v>23</v>
      </c>
    </row>
    <row r="49" spans="1:17" ht="12.3">
      <c r="A49" s="9">
        <v>43871</v>
      </c>
      <c r="B49" s="10" t="s">
        <v>165</v>
      </c>
      <c r="C49" s="10" t="s">
        <v>166</v>
      </c>
      <c r="D49" s="10">
        <v>4.4000000000000004</v>
      </c>
      <c r="E49" s="10" t="s">
        <v>19</v>
      </c>
      <c r="F49" s="10" t="s">
        <v>20</v>
      </c>
      <c r="G49" s="10"/>
      <c r="H49" s="10"/>
      <c r="I49" s="10" t="s">
        <v>167</v>
      </c>
      <c r="J49" s="10" t="s">
        <v>168</v>
      </c>
      <c r="K49" s="12">
        <v>0</v>
      </c>
      <c r="L49" s="13">
        <v>0</v>
      </c>
      <c r="M49" s="13">
        <v>0</v>
      </c>
      <c r="N49" s="14">
        <f>LOG(K49+([1]Values!$D$8*L49)+([1]Values!$D$9*M49)+(O49*[1]Values!D$10)+(P49*[1]Values!$D$11)+1)</f>
        <v>7.925070175666819E-3</v>
      </c>
      <c r="O49" s="11">
        <v>2</v>
      </c>
      <c r="P49" s="11">
        <v>0</v>
      </c>
      <c r="Q49" s="15" t="s">
        <v>23</v>
      </c>
    </row>
    <row r="50" spans="1:17" ht="12.3">
      <c r="A50" s="9">
        <v>43873</v>
      </c>
      <c r="B50" s="10" t="s">
        <v>17</v>
      </c>
      <c r="C50" s="10" t="s">
        <v>169</v>
      </c>
      <c r="D50" s="10">
        <v>4.5</v>
      </c>
      <c r="E50" s="10" t="s">
        <v>19</v>
      </c>
      <c r="F50" s="10" t="s">
        <v>20</v>
      </c>
      <c r="G50" s="10">
        <v>18</v>
      </c>
      <c r="H50" s="10"/>
      <c r="I50" s="10" t="s">
        <v>170</v>
      </c>
      <c r="J50" s="10" t="s">
        <v>171</v>
      </c>
      <c r="K50" s="12">
        <v>0</v>
      </c>
      <c r="L50" s="13">
        <v>0</v>
      </c>
      <c r="M50" s="13">
        <v>0</v>
      </c>
      <c r="N50" s="14">
        <f>LOG(K50+([1]Values!$D$8*L50)+([1]Values!$D$9*M50)+(O50*[1]Values!D$10)+(P50*[1]Values!$D$11)+1)</f>
        <v>1.1834025150509769E-2</v>
      </c>
      <c r="O50" s="16">
        <v>3</v>
      </c>
      <c r="P50" s="11">
        <v>0</v>
      </c>
      <c r="Q50" s="15" t="s">
        <v>23</v>
      </c>
    </row>
    <row r="51" spans="1:17" ht="12.3">
      <c r="A51" s="9">
        <v>43874</v>
      </c>
      <c r="B51" s="10" t="s">
        <v>172</v>
      </c>
      <c r="C51" s="10" t="s">
        <v>173</v>
      </c>
      <c r="D51" s="28">
        <v>7</v>
      </c>
      <c r="E51" s="10" t="s">
        <v>19</v>
      </c>
      <c r="F51" s="10" t="s">
        <v>20</v>
      </c>
      <c r="G51" s="10">
        <v>144</v>
      </c>
      <c r="H51" s="10"/>
      <c r="I51" s="10" t="s">
        <v>174</v>
      </c>
      <c r="J51" s="10" t="s">
        <v>175</v>
      </c>
      <c r="K51" s="12">
        <v>0</v>
      </c>
      <c r="L51" s="13">
        <v>0</v>
      </c>
      <c r="M51" s="13">
        <v>0</v>
      </c>
      <c r="N51" s="14">
        <f>LOG(K51+([1]Values!$D$8*L51)+([1]Values!$D$9*M51)+(O51*[1]Values!D$10)+(P51*[1]Values!$D$11)+1)</f>
        <v>1.9547942558039232E-2</v>
      </c>
      <c r="O51" s="16">
        <v>5</v>
      </c>
      <c r="P51" s="11">
        <v>0</v>
      </c>
      <c r="Q51" s="15" t="s">
        <v>23</v>
      </c>
    </row>
    <row r="52" spans="1:17" ht="12.3">
      <c r="A52" s="9">
        <v>43876</v>
      </c>
      <c r="B52" s="10" t="s">
        <v>44</v>
      </c>
      <c r="C52" s="10" t="s">
        <v>176</v>
      </c>
      <c r="D52" s="10">
        <v>3.3</v>
      </c>
      <c r="E52" s="10" t="s">
        <v>19</v>
      </c>
      <c r="F52" s="10" t="s">
        <v>20</v>
      </c>
      <c r="G52" s="10">
        <v>10</v>
      </c>
      <c r="H52" s="10"/>
      <c r="I52" s="10" t="s">
        <v>177</v>
      </c>
      <c r="J52" s="10" t="s">
        <v>178</v>
      </c>
      <c r="K52" s="12">
        <v>0</v>
      </c>
      <c r="L52" s="13">
        <v>0</v>
      </c>
      <c r="M52" s="13">
        <v>0</v>
      </c>
      <c r="N52" s="14">
        <f>LOG(K52+([1]Values!$D$8*L52)+([1]Values!$D$9*M52)+(O52*[1]Values!D$10)+(P52*[1]Values!$D$11)+1)</f>
        <v>3.9806120691489328E-3</v>
      </c>
      <c r="O52" s="11">
        <v>1</v>
      </c>
      <c r="P52" s="11">
        <v>0</v>
      </c>
      <c r="Q52" s="15" t="s">
        <v>23</v>
      </c>
    </row>
    <row r="53" spans="1:17" ht="12.3">
      <c r="A53" s="9">
        <v>43876</v>
      </c>
      <c r="B53" s="10" t="s">
        <v>17</v>
      </c>
      <c r="C53" s="10" t="s">
        <v>179</v>
      </c>
      <c r="D53" s="10">
        <v>4.4000000000000004</v>
      </c>
      <c r="E53" s="10" t="s">
        <v>19</v>
      </c>
      <c r="F53" s="10" t="s">
        <v>20</v>
      </c>
      <c r="G53" s="10">
        <v>6</v>
      </c>
      <c r="H53" s="10"/>
      <c r="I53" s="10" t="s">
        <v>180</v>
      </c>
      <c r="J53" s="10" t="s">
        <v>181</v>
      </c>
      <c r="K53" s="12">
        <v>0</v>
      </c>
      <c r="L53" s="13">
        <v>27</v>
      </c>
      <c r="M53" s="13">
        <v>0</v>
      </c>
      <c r="N53" s="14">
        <f>LOG(K53+([1]Values!$D$8*L53)+([1]Values!$D$9*M53)+(O53*[1]Values!D$10)+(P53*[1]Values!$D$11)+1)</f>
        <v>0.89666055063095818</v>
      </c>
      <c r="O53" s="11">
        <v>5</v>
      </c>
      <c r="P53" s="11">
        <v>0</v>
      </c>
      <c r="Q53" s="15" t="s">
        <v>23</v>
      </c>
    </row>
    <row r="54" spans="1:17" ht="12.3">
      <c r="A54" s="9">
        <v>43877</v>
      </c>
      <c r="B54" s="10" t="s">
        <v>17</v>
      </c>
      <c r="C54" s="10" t="s">
        <v>110</v>
      </c>
      <c r="D54" s="11">
        <v>5.8</v>
      </c>
      <c r="E54" s="10" t="s">
        <v>19</v>
      </c>
      <c r="F54" s="10" t="s">
        <v>20</v>
      </c>
      <c r="G54" s="10">
        <v>13</v>
      </c>
      <c r="H54" s="10"/>
      <c r="I54" s="10" t="s">
        <v>182</v>
      </c>
      <c r="J54" s="10" t="s">
        <v>183</v>
      </c>
      <c r="K54" s="12">
        <v>0</v>
      </c>
      <c r="L54" s="13">
        <v>1</v>
      </c>
      <c r="M54" s="13">
        <v>0</v>
      </c>
      <c r="N54" s="14">
        <f>LOG(K54+([1]Values!$D$8*L54)+([1]Values!$D$9*M54)+(O54*[1]Values!D$10)+(P54*[1]Values!$D$11)+1)</f>
        <v>0.14850374913970332</v>
      </c>
      <c r="O54" s="16">
        <v>10</v>
      </c>
      <c r="P54" s="11">
        <v>2</v>
      </c>
      <c r="Q54" s="15" t="s">
        <v>23</v>
      </c>
    </row>
    <row r="55" spans="1:17" ht="12.3">
      <c r="A55" s="9">
        <v>43877</v>
      </c>
      <c r="B55" s="10" t="s">
        <v>17</v>
      </c>
      <c r="C55" s="10" t="s">
        <v>145</v>
      </c>
      <c r="D55" s="10">
        <v>4.4000000000000004</v>
      </c>
      <c r="E55" s="10" t="s">
        <v>19</v>
      </c>
      <c r="F55" s="10" t="s">
        <v>20</v>
      </c>
      <c r="G55" s="10">
        <v>5</v>
      </c>
      <c r="H55" s="10"/>
      <c r="I55" s="10" t="s">
        <v>184</v>
      </c>
      <c r="J55" s="10" t="s">
        <v>185</v>
      </c>
      <c r="K55" s="12">
        <v>0</v>
      </c>
      <c r="L55" s="13">
        <v>0</v>
      </c>
      <c r="M55" s="13">
        <v>0</v>
      </c>
      <c r="N55" s="14">
        <f>LOG(K55+([1]Values!$D$8*L55)+([1]Values!$D$9*M55)+(O55*[1]Values!D$10)+(P55*[1]Values!$D$11)+1)</f>
        <v>0.19102318836829466</v>
      </c>
      <c r="O55" s="11">
        <v>60</v>
      </c>
      <c r="P55" s="11">
        <v>0</v>
      </c>
      <c r="Q55" s="15" t="s">
        <v>23</v>
      </c>
    </row>
    <row r="56" spans="1:17" ht="12.3">
      <c r="A56" s="9">
        <v>43879</v>
      </c>
      <c r="B56" s="10" t="s">
        <v>83</v>
      </c>
      <c r="C56" s="10" t="s">
        <v>186</v>
      </c>
      <c r="D56" s="10">
        <v>4.0999999999999996</v>
      </c>
      <c r="E56" s="10" t="s">
        <v>19</v>
      </c>
      <c r="F56" s="10" t="s">
        <v>20</v>
      </c>
      <c r="G56" s="10">
        <v>10</v>
      </c>
      <c r="H56" s="10"/>
      <c r="I56" s="10" t="s">
        <v>187</v>
      </c>
      <c r="J56" s="10" t="s">
        <v>188</v>
      </c>
      <c r="K56" s="12">
        <v>0</v>
      </c>
      <c r="L56" s="13">
        <v>0</v>
      </c>
      <c r="M56" s="13">
        <v>0</v>
      </c>
      <c r="N56" s="14">
        <f>LOG(K56+([1]Values!$D$8*L56)+([1]Values!$D$9*M56)+(O56*[1]Values!D$10)+(P56*[1]Values!$D$11)+1)</f>
        <v>1.1834025150509769E-2</v>
      </c>
      <c r="O56" s="16">
        <v>3</v>
      </c>
      <c r="P56" s="11">
        <v>0</v>
      </c>
      <c r="Q56" s="15" t="s">
        <v>23</v>
      </c>
    </row>
    <row r="57" spans="1:17" ht="12.3">
      <c r="A57" s="9">
        <v>43879</v>
      </c>
      <c r="B57" s="10" t="s">
        <v>105</v>
      </c>
      <c r="C57" s="10" t="s">
        <v>106</v>
      </c>
      <c r="D57" s="10">
        <v>4.9000000000000004</v>
      </c>
      <c r="E57" s="10" t="s">
        <v>107</v>
      </c>
      <c r="F57" s="10" t="s">
        <v>20</v>
      </c>
      <c r="G57" s="10">
        <v>12</v>
      </c>
      <c r="H57" s="10"/>
      <c r="I57" s="10" t="s">
        <v>189</v>
      </c>
      <c r="J57" s="10" t="s">
        <v>190</v>
      </c>
      <c r="K57" s="12">
        <v>0</v>
      </c>
      <c r="L57" s="13">
        <v>0</v>
      </c>
      <c r="M57" s="13"/>
      <c r="N57" s="14">
        <f>LOG(K57+([1]Values!$D$8*L57)+([1]Values!$D$9*M57)+(O57*[1]Values!D$10)+(P57*[1]Values!$D$11)+1)</f>
        <v>0.16446932108679838</v>
      </c>
      <c r="O57" s="16">
        <v>50</v>
      </c>
      <c r="P57" s="11"/>
      <c r="Q57" s="15" t="s">
        <v>23</v>
      </c>
    </row>
    <row r="58" spans="1:17" ht="12.6">
      <c r="A58" s="29">
        <v>43880</v>
      </c>
      <c r="B58" s="30" t="s">
        <v>24</v>
      </c>
      <c r="C58" s="30" t="s">
        <v>191</v>
      </c>
      <c r="D58" s="30"/>
      <c r="E58" s="30" t="s">
        <v>192</v>
      </c>
      <c r="F58" s="30" t="s">
        <v>192</v>
      </c>
      <c r="G58" s="30"/>
      <c r="H58" s="30"/>
      <c r="I58" s="31">
        <v>44090</v>
      </c>
      <c r="J58" s="30" t="s">
        <v>193</v>
      </c>
      <c r="K58" s="32">
        <v>0</v>
      </c>
      <c r="L58" s="18">
        <v>0</v>
      </c>
      <c r="M58" s="18">
        <v>0</v>
      </c>
      <c r="N58" s="33">
        <f>LOG(K58+([1]Values!$D$8*L58)+([1]Values!$D$9*M58)+(O58*[1]Values!D$10)+(P58*[1]Values!$D$11)+1)</f>
        <v>1.9547942558039232E-2</v>
      </c>
      <c r="O58" s="16">
        <v>5</v>
      </c>
      <c r="P58" s="16">
        <v>0</v>
      </c>
      <c r="Q58" s="34" t="s">
        <v>23</v>
      </c>
    </row>
    <row r="59" spans="1:17" ht="12.3">
      <c r="A59" s="9">
        <v>43883</v>
      </c>
      <c r="B59" s="10" t="s">
        <v>105</v>
      </c>
      <c r="C59" s="10" t="s">
        <v>194</v>
      </c>
      <c r="D59" s="10">
        <v>4.5</v>
      </c>
      <c r="E59" s="10" t="s">
        <v>19</v>
      </c>
      <c r="F59" s="10" t="s">
        <v>20</v>
      </c>
      <c r="G59" s="10">
        <v>15</v>
      </c>
      <c r="H59" s="10"/>
      <c r="I59" s="10" t="s">
        <v>195</v>
      </c>
      <c r="J59" s="10" t="s">
        <v>196</v>
      </c>
      <c r="K59" s="12">
        <v>0</v>
      </c>
      <c r="L59" s="13">
        <v>8</v>
      </c>
      <c r="M59" s="13">
        <v>5</v>
      </c>
      <c r="N59" s="14">
        <f>LOG(K59+([1]Values!$D$8*L59)+([1]Values!$D$9*M59)+(O59*[1]Values!D$10)+(P59*[1]Values!$D$11)+1)</f>
        <v>0.50938121829068039</v>
      </c>
      <c r="O59" s="11">
        <v>9</v>
      </c>
      <c r="P59" s="11">
        <v>1</v>
      </c>
      <c r="Q59" s="15" t="s">
        <v>23</v>
      </c>
    </row>
    <row r="60" spans="1:17" ht="12.3">
      <c r="A60" s="19">
        <v>43884</v>
      </c>
      <c r="B60" s="20" t="s">
        <v>17</v>
      </c>
      <c r="C60" s="20" t="s">
        <v>145</v>
      </c>
      <c r="D60" s="20">
        <v>5.7</v>
      </c>
      <c r="E60" s="20" t="s">
        <v>19</v>
      </c>
      <c r="F60" s="20" t="s">
        <v>20</v>
      </c>
      <c r="G60" s="20">
        <v>6</v>
      </c>
      <c r="H60" s="20"/>
      <c r="I60" s="20" t="s">
        <v>197</v>
      </c>
      <c r="J60" s="20" t="s">
        <v>198</v>
      </c>
      <c r="K60" s="12">
        <f t="shared" ref="K60:M60" si="1">SUM(K61:K62)</f>
        <v>10</v>
      </c>
      <c r="L60" s="21">
        <f t="shared" si="1"/>
        <v>172</v>
      </c>
      <c r="M60" s="21">
        <f t="shared" si="1"/>
        <v>16792</v>
      </c>
      <c r="N60" s="22">
        <f>LOG(K60+([1]Values!$D$8*L60)+([1]Values!$D$9*M60)+(O60*[1]Values!D$10)+(P60*[1]Values!$D$11)+1)</f>
        <v>2.7888153156068309</v>
      </c>
      <c r="O60" s="35">
        <f t="shared" ref="O60:P60" si="2">SUM(O61:O62)</f>
        <v>6567</v>
      </c>
      <c r="P60" s="35">
        <f t="shared" si="2"/>
        <v>6156</v>
      </c>
      <c r="Q60" s="15" t="s">
        <v>23</v>
      </c>
    </row>
    <row r="61" spans="1:17" ht="12.3">
      <c r="A61" s="19"/>
      <c r="B61" s="20"/>
      <c r="C61" s="20"/>
      <c r="D61" s="20"/>
      <c r="E61" s="20"/>
      <c r="F61" s="20"/>
      <c r="G61" s="20"/>
      <c r="H61" s="20"/>
      <c r="I61" s="20"/>
      <c r="J61" s="20"/>
      <c r="K61" s="12">
        <v>0</v>
      </c>
      <c r="L61" s="21">
        <v>109</v>
      </c>
      <c r="M61" s="21">
        <v>15792</v>
      </c>
      <c r="N61" s="22">
        <f>LOG(K61+([1]Values!$D$8*L61)+([1]Values!$D$9*M61)+(O61*[1]Values!D$10)+(P61*[1]Values!$D$11)+1)</f>
        <v>2.637407563901264</v>
      </c>
      <c r="O61" s="35">
        <f>6130-P61</f>
        <v>3430</v>
      </c>
      <c r="P61" s="20">
        <v>2700</v>
      </c>
      <c r="Q61" s="15" t="s">
        <v>23</v>
      </c>
    </row>
    <row r="62" spans="1:17" ht="12.3">
      <c r="A62" s="19"/>
      <c r="B62" s="20"/>
      <c r="C62" s="20"/>
      <c r="D62" s="20"/>
      <c r="E62" s="20"/>
      <c r="F62" s="20"/>
      <c r="G62" s="20"/>
      <c r="H62" s="20"/>
      <c r="I62" s="20"/>
      <c r="J62" s="20"/>
      <c r="K62" s="12">
        <v>10</v>
      </c>
      <c r="L62" s="21">
        <v>63</v>
      </c>
      <c r="M62" s="21">
        <v>1000</v>
      </c>
      <c r="N62" s="22">
        <f>LOG(K62+([1]Values!$D$8*L62)+([1]Values!$D$9*M62)+(O62*[1]Values!D$10)+(P62*[1]Values!$D$11)+1)</f>
        <v>2.2600652447020853</v>
      </c>
      <c r="O62" s="35">
        <v>3137</v>
      </c>
      <c r="P62" s="35">
        <v>3456</v>
      </c>
      <c r="Q62" s="15" t="s">
        <v>23</v>
      </c>
    </row>
    <row r="63" spans="1:17" ht="12.3">
      <c r="A63" s="9">
        <v>43885</v>
      </c>
      <c r="B63" s="10" t="s">
        <v>199</v>
      </c>
      <c r="C63" s="10" t="s">
        <v>200</v>
      </c>
      <c r="D63" s="10">
        <v>4.4000000000000004</v>
      </c>
      <c r="E63" s="10" t="s">
        <v>19</v>
      </c>
      <c r="F63" s="10" t="s">
        <v>20</v>
      </c>
      <c r="G63" s="10">
        <v>10</v>
      </c>
      <c r="H63" s="10"/>
      <c r="I63" s="10" t="s">
        <v>201</v>
      </c>
      <c r="J63" s="10" t="s">
        <v>202</v>
      </c>
      <c r="K63" s="12">
        <v>0</v>
      </c>
      <c r="L63" s="13">
        <v>1</v>
      </c>
      <c r="M63" s="13">
        <v>0</v>
      </c>
      <c r="N63" s="14">
        <f>LOG(K63+([1]Values!$D$8*L63)+([1]Values!$D$9*M63)+(O63*[1]Values!D$10)+(P63*[1]Values!$D$11)+1)</f>
        <v>0.20992049230781767</v>
      </c>
      <c r="O63" s="16">
        <v>40</v>
      </c>
      <c r="P63" s="11"/>
      <c r="Q63" s="15" t="s">
        <v>23</v>
      </c>
    </row>
    <row r="64" spans="1:17" ht="12.3">
      <c r="A64" s="9">
        <v>43886</v>
      </c>
      <c r="B64" s="10" t="s">
        <v>72</v>
      </c>
      <c r="C64" s="10" t="s">
        <v>203</v>
      </c>
      <c r="D64" s="10">
        <v>5.3</v>
      </c>
      <c r="E64" s="10" t="s">
        <v>19</v>
      </c>
      <c r="F64" s="10" t="s">
        <v>20</v>
      </c>
      <c r="G64" s="10">
        <v>32</v>
      </c>
      <c r="H64" s="10"/>
      <c r="I64" s="10" t="s">
        <v>204</v>
      </c>
      <c r="J64" s="10" t="s">
        <v>205</v>
      </c>
      <c r="K64" s="12">
        <v>0</v>
      </c>
      <c r="L64" s="13">
        <v>0</v>
      </c>
      <c r="M64" s="13">
        <v>150</v>
      </c>
      <c r="N64" s="14">
        <f>LOG(K64+([1]Values!$D$8*L64)+([1]Values!$D$9*M64)+(O64*[1]Values!D$10)+(P64*[1]Values!$D$11)+1)</f>
        <v>0.65534565352726737</v>
      </c>
      <c r="O64" s="11">
        <v>50</v>
      </c>
      <c r="P64" s="11">
        <v>10</v>
      </c>
      <c r="Q64" s="15" t="s">
        <v>23</v>
      </c>
    </row>
    <row r="65" spans="1:17" ht="12.3">
      <c r="A65" s="9">
        <v>43886</v>
      </c>
      <c r="B65" s="10" t="s">
        <v>17</v>
      </c>
      <c r="C65" s="10" t="s">
        <v>110</v>
      </c>
      <c r="D65" s="10">
        <v>4.0999999999999996</v>
      </c>
      <c r="E65" s="10" t="s">
        <v>206</v>
      </c>
      <c r="F65" s="10" t="s">
        <v>20</v>
      </c>
      <c r="G65" s="10">
        <v>9</v>
      </c>
      <c r="H65" s="10"/>
      <c r="I65" s="10" t="s">
        <v>207</v>
      </c>
      <c r="J65" s="10" t="s">
        <v>208</v>
      </c>
      <c r="K65" s="12">
        <v>0</v>
      </c>
      <c r="L65" s="13">
        <v>0</v>
      </c>
      <c r="M65" s="13">
        <v>0</v>
      </c>
      <c r="N65" s="14">
        <f>LOG(K65+([1]Values!$D$8*L65)+([1]Values!$D$9*M65)+(O65*[1]Values!D$10)+(P65*[1]Values!$D$11)+1)</f>
        <v>1.9547942558039232E-2</v>
      </c>
      <c r="O65" s="16">
        <v>5</v>
      </c>
      <c r="P65" s="11"/>
      <c r="Q65" s="15" t="s">
        <v>23</v>
      </c>
    </row>
    <row r="66" spans="1:17" ht="12.3">
      <c r="A66" s="9">
        <v>43886</v>
      </c>
      <c r="B66" s="10" t="s">
        <v>105</v>
      </c>
      <c r="C66" s="10" t="s">
        <v>209</v>
      </c>
      <c r="D66" s="10">
        <v>5</v>
      </c>
      <c r="E66" s="10" t="s">
        <v>206</v>
      </c>
      <c r="F66" s="10" t="s">
        <v>20</v>
      </c>
      <c r="G66" s="10">
        <v>5</v>
      </c>
      <c r="H66" s="10"/>
      <c r="I66" s="10" t="s">
        <v>210</v>
      </c>
      <c r="J66" s="10" t="s">
        <v>211</v>
      </c>
      <c r="K66" s="12">
        <v>0</v>
      </c>
      <c r="L66" s="13">
        <v>6</v>
      </c>
      <c r="M66" s="13"/>
      <c r="N66" s="14">
        <f>LOG(K66+([1]Values!$D$8*L66)+([1]Values!$D$9*M66)+(O66*[1]Values!D$10)+(P66*[1]Values!$D$11)+1)</f>
        <v>0.4059987949537206</v>
      </c>
      <c r="O66" s="16">
        <v>3</v>
      </c>
      <c r="P66" s="11"/>
      <c r="Q66" s="15" t="s">
        <v>23</v>
      </c>
    </row>
    <row r="67" spans="1:17" ht="12.3">
      <c r="A67" s="9">
        <v>43888</v>
      </c>
      <c r="B67" s="10" t="s">
        <v>24</v>
      </c>
      <c r="C67" s="10" t="s">
        <v>212</v>
      </c>
      <c r="D67" s="10">
        <v>2.1</v>
      </c>
      <c r="E67" s="10" t="s">
        <v>19</v>
      </c>
      <c r="F67" s="10" t="s">
        <v>213</v>
      </c>
      <c r="G67" s="10"/>
      <c r="H67" s="10"/>
      <c r="I67" s="10" t="s">
        <v>214</v>
      </c>
      <c r="J67" s="10" t="s">
        <v>215</v>
      </c>
      <c r="K67" s="12">
        <v>0</v>
      </c>
      <c r="L67" s="13">
        <v>0</v>
      </c>
      <c r="M67" s="13">
        <v>0</v>
      </c>
      <c r="N67" s="14">
        <f>LOG(K67+([1]Values!$D$8*L67)+([1]Values!$D$9*M67)+(O67*[1]Values!D$10)+(P67*[1]Values!$D$11)+1)</f>
        <v>5.6187091593210024E-2</v>
      </c>
      <c r="O67" s="11">
        <v>15</v>
      </c>
      <c r="P67" s="11"/>
      <c r="Q67" s="15" t="s">
        <v>23</v>
      </c>
    </row>
    <row r="68" spans="1:17" ht="12.3">
      <c r="A68" s="9">
        <v>43889</v>
      </c>
      <c r="B68" s="10" t="s">
        <v>216</v>
      </c>
      <c r="C68" s="10" t="s">
        <v>217</v>
      </c>
      <c r="D68" s="10">
        <v>4.7</v>
      </c>
      <c r="E68" s="10" t="s">
        <v>19</v>
      </c>
      <c r="F68" s="10" t="s">
        <v>20</v>
      </c>
      <c r="G68" s="10">
        <v>16</v>
      </c>
      <c r="H68" s="10"/>
      <c r="I68" s="10" t="s">
        <v>218</v>
      </c>
      <c r="J68" s="10" t="s">
        <v>219</v>
      </c>
      <c r="K68" s="12">
        <v>0</v>
      </c>
      <c r="L68" s="13">
        <v>0</v>
      </c>
      <c r="M68" s="13">
        <v>0</v>
      </c>
      <c r="N68" s="14">
        <f>LOG(K68+([1]Values!$D$8*L68)+([1]Values!$D$9*M68)+(O68*[1]Values!D$10)+(P68*[1]Values!$D$11)+1)</f>
        <v>3.9806120691489328E-3</v>
      </c>
      <c r="O68" s="11">
        <v>1</v>
      </c>
      <c r="P68" s="11">
        <v>0</v>
      </c>
      <c r="Q68" s="15" t="s">
        <v>23</v>
      </c>
    </row>
    <row r="69" spans="1:17" ht="12.3">
      <c r="A69" s="9">
        <v>43891</v>
      </c>
      <c r="B69" s="10" t="s">
        <v>62</v>
      </c>
      <c r="C69" s="10" t="s">
        <v>220</v>
      </c>
      <c r="D69" s="10">
        <v>5.3</v>
      </c>
      <c r="E69" s="10" t="s">
        <v>19</v>
      </c>
      <c r="F69" s="10" t="s">
        <v>20</v>
      </c>
      <c r="G69" s="10">
        <v>9</v>
      </c>
      <c r="H69" s="10"/>
      <c r="I69" s="10" t="s">
        <v>221</v>
      </c>
      <c r="J69" s="10" t="s">
        <v>222</v>
      </c>
      <c r="K69" s="12">
        <v>0</v>
      </c>
      <c r="L69" s="13">
        <v>0</v>
      </c>
      <c r="M69" s="13">
        <v>0</v>
      </c>
      <c r="N69" s="14">
        <f>LOG(K69+([1]Values!$D$8*L69)+([1]Values!$D$9*M69)+(O69*[1]Values!D$10)+(P69*[1]Values!$D$11)+1)</f>
        <v>2.3354122002696539E-2</v>
      </c>
      <c r="O69" s="11">
        <v>6</v>
      </c>
      <c r="P69" s="11">
        <v>0</v>
      </c>
      <c r="Q69" s="15" t="s">
        <v>23</v>
      </c>
    </row>
    <row r="70" spans="1:17" ht="12.3">
      <c r="A70" s="9">
        <v>43893</v>
      </c>
      <c r="B70" s="10" t="s">
        <v>72</v>
      </c>
      <c r="C70" s="10" t="s">
        <v>223</v>
      </c>
      <c r="D70" s="10">
        <v>4.9000000000000004</v>
      </c>
      <c r="E70" s="10" t="s">
        <v>19</v>
      </c>
      <c r="F70" s="10" t="s">
        <v>20</v>
      </c>
      <c r="G70" s="10">
        <v>35</v>
      </c>
      <c r="H70" s="10"/>
      <c r="I70" s="10" t="s">
        <v>224</v>
      </c>
      <c r="J70" s="10" t="s">
        <v>225</v>
      </c>
      <c r="K70" s="12">
        <v>0</v>
      </c>
      <c r="L70" s="13">
        <v>0</v>
      </c>
      <c r="M70" s="13">
        <v>0</v>
      </c>
      <c r="N70" s="14">
        <f>LOG(K70+([1]Values!$D$8*L70)+([1]Values!$D$9*M70)+(O70*[1]Values!D$10)+(P70*[1]Values!$D$11)+1)</f>
        <v>3.9806120691489328E-3</v>
      </c>
      <c r="O70" s="11">
        <v>1</v>
      </c>
      <c r="P70" s="11">
        <v>0</v>
      </c>
      <c r="Q70" s="15" t="s">
        <v>23</v>
      </c>
    </row>
    <row r="71" spans="1:17" ht="12.3">
      <c r="A71" s="9">
        <v>43894</v>
      </c>
      <c r="B71" s="10" t="s">
        <v>226</v>
      </c>
      <c r="C71" s="10" t="s">
        <v>227</v>
      </c>
      <c r="D71" s="10">
        <v>5</v>
      </c>
      <c r="E71" s="10" t="s">
        <v>19</v>
      </c>
      <c r="F71" s="10" t="s">
        <v>20</v>
      </c>
      <c r="G71" s="10">
        <v>5</v>
      </c>
      <c r="H71" s="10"/>
      <c r="I71" s="10" t="s">
        <v>228</v>
      </c>
      <c r="J71" s="10" t="s">
        <v>229</v>
      </c>
      <c r="K71" s="12">
        <v>0</v>
      </c>
      <c r="L71" s="13">
        <v>0</v>
      </c>
      <c r="M71" s="13">
        <v>0</v>
      </c>
      <c r="N71" s="14">
        <f>LOG(K71+([1]Values!$D$8*L71)+([1]Values!$D$9*M71)+(O71*[1]Values!D$10)+(P71*[1]Values!$D$11)+1)</f>
        <v>8.5247948663407527E-2</v>
      </c>
      <c r="O71" s="16">
        <v>10</v>
      </c>
      <c r="P71" s="11">
        <v>4</v>
      </c>
      <c r="Q71" s="15" t="s">
        <v>23</v>
      </c>
    </row>
    <row r="72" spans="1:17" ht="12.3">
      <c r="A72" s="9">
        <v>43895</v>
      </c>
      <c r="B72" s="10" t="s">
        <v>76</v>
      </c>
      <c r="C72" s="10" t="s">
        <v>230</v>
      </c>
      <c r="D72" s="10">
        <v>5.5</v>
      </c>
      <c r="E72" s="10" t="s">
        <v>19</v>
      </c>
      <c r="F72" s="10" t="s">
        <v>20</v>
      </c>
      <c r="G72" s="10">
        <v>115</v>
      </c>
      <c r="H72" s="10"/>
      <c r="I72" s="10" t="s">
        <v>231</v>
      </c>
      <c r="J72" s="10" t="s">
        <v>232</v>
      </c>
      <c r="K72" s="12">
        <v>0</v>
      </c>
      <c r="L72" s="13">
        <v>0</v>
      </c>
      <c r="M72" s="13">
        <v>0</v>
      </c>
      <c r="N72" s="14">
        <f>LOG(K72+([1]Values!$D$8*L72)+([1]Values!$D$9*M72)+(O72*[1]Values!D$10)+(P72*[1]Values!$D$11)+1)</f>
        <v>1.9547942558039232E-2</v>
      </c>
      <c r="O72" s="16">
        <v>5</v>
      </c>
      <c r="P72" s="11">
        <v>0</v>
      </c>
      <c r="Q72" s="15" t="s">
        <v>23</v>
      </c>
    </row>
    <row r="73" spans="1:17" ht="12.3">
      <c r="A73" s="9">
        <v>43895</v>
      </c>
      <c r="B73" s="10" t="s">
        <v>24</v>
      </c>
      <c r="C73" s="10" t="s">
        <v>212</v>
      </c>
      <c r="D73" s="10"/>
      <c r="E73" s="10" t="s">
        <v>19</v>
      </c>
      <c r="F73" s="10" t="s">
        <v>213</v>
      </c>
      <c r="G73" s="10"/>
      <c r="H73" s="10"/>
      <c r="I73" s="10" t="s">
        <v>214</v>
      </c>
      <c r="J73" s="10" t="s">
        <v>215</v>
      </c>
      <c r="K73" s="12">
        <v>0</v>
      </c>
      <c r="L73" s="13">
        <v>0</v>
      </c>
      <c r="M73" s="13">
        <v>0</v>
      </c>
      <c r="N73" s="14">
        <f>LOG(K73+([1]Values!$D$8*L73)+([1]Values!$D$9*M73)+(O73*[1]Values!D$10)+(P73*[1]Values!$D$11)+1)</f>
        <v>3.9806120691489328E-3</v>
      </c>
      <c r="O73" s="11">
        <v>1</v>
      </c>
      <c r="P73" s="11">
        <v>0</v>
      </c>
      <c r="Q73" s="15" t="s">
        <v>23</v>
      </c>
    </row>
    <row r="74" spans="1:17" ht="12.3">
      <c r="A74" s="9">
        <v>43896</v>
      </c>
      <c r="B74" s="10" t="s">
        <v>83</v>
      </c>
      <c r="C74" s="10" t="s">
        <v>150</v>
      </c>
      <c r="D74" s="10">
        <v>3.9</v>
      </c>
      <c r="E74" s="10" t="s">
        <v>19</v>
      </c>
      <c r="F74" s="10" t="s">
        <v>20</v>
      </c>
      <c r="G74" s="10">
        <v>13</v>
      </c>
      <c r="H74" s="10"/>
      <c r="I74" s="10" t="s">
        <v>233</v>
      </c>
      <c r="J74" s="10" t="s">
        <v>234</v>
      </c>
      <c r="K74" s="12">
        <v>0</v>
      </c>
      <c r="L74" s="13">
        <v>0</v>
      </c>
      <c r="M74" s="13">
        <v>0</v>
      </c>
      <c r="N74" s="14">
        <f>LOG(K74+([1]Values!$D$8*L74)+([1]Values!$D$9*M74)+(O74*[1]Values!D$10)+(P74*[1]Values!$D$11)+1)</f>
        <v>3.9806120691489328E-3</v>
      </c>
      <c r="O74" s="11">
        <v>1</v>
      </c>
      <c r="P74" s="11">
        <v>0</v>
      </c>
      <c r="Q74" s="15" t="s">
        <v>23</v>
      </c>
    </row>
    <row r="75" spans="1:17" ht="12.3">
      <c r="A75" s="9">
        <v>43896</v>
      </c>
      <c r="B75" s="10" t="s">
        <v>235</v>
      </c>
      <c r="C75" s="10" t="s">
        <v>236</v>
      </c>
      <c r="D75" s="10">
        <v>3.3</v>
      </c>
      <c r="E75" s="10" t="s">
        <v>19</v>
      </c>
      <c r="F75" s="10" t="s">
        <v>20</v>
      </c>
      <c r="G75" s="10">
        <v>12</v>
      </c>
      <c r="H75" s="10"/>
      <c r="I75" s="10" t="s">
        <v>237</v>
      </c>
      <c r="J75" s="10" t="s">
        <v>238</v>
      </c>
      <c r="K75" s="12">
        <v>0</v>
      </c>
      <c r="L75" s="13">
        <v>0</v>
      </c>
      <c r="M75" s="13">
        <v>0</v>
      </c>
      <c r="N75" s="14">
        <f>LOG(K75+([1]Values!$D$8*L75)+([1]Values!$D$9*M75)+(O75*[1]Values!D$10)+(P75*[1]Values!$D$11)+1)</f>
        <v>1.9547942558039232E-2</v>
      </c>
      <c r="O75" s="16">
        <v>5</v>
      </c>
      <c r="P75" s="11">
        <v>0</v>
      </c>
      <c r="Q75" s="15" t="s">
        <v>23</v>
      </c>
    </row>
    <row r="76" spans="1:17" ht="12.3">
      <c r="A76" s="9">
        <v>43896</v>
      </c>
      <c r="B76" s="10" t="s">
        <v>17</v>
      </c>
      <c r="C76" s="10" t="s">
        <v>145</v>
      </c>
      <c r="D76" s="10">
        <v>4.5</v>
      </c>
      <c r="E76" s="10" t="s">
        <v>206</v>
      </c>
      <c r="F76" s="10" t="s">
        <v>20</v>
      </c>
      <c r="G76" s="10">
        <v>6</v>
      </c>
      <c r="H76" s="10"/>
      <c r="I76" s="10" t="s">
        <v>239</v>
      </c>
      <c r="J76" s="10" t="s">
        <v>240</v>
      </c>
      <c r="K76" s="12">
        <v>0</v>
      </c>
      <c r="L76" s="13">
        <v>0</v>
      </c>
      <c r="M76" s="13">
        <v>0</v>
      </c>
      <c r="N76" s="14">
        <f>LOG(K76+([1]Values!$D$8*L76)+([1]Values!$D$9*M76)+(O76*[1]Values!D$10)+(P76*[1]Values!$D$11)+1)</f>
        <v>3.8253784164563889E-2</v>
      </c>
      <c r="O76" s="16">
        <v>10</v>
      </c>
      <c r="P76" s="11">
        <v>0</v>
      </c>
      <c r="Q76" s="15" t="s">
        <v>23</v>
      </c>
    </row>
    <row r="77" spans="1:17" ht="12.3">
      <c r="A77" s="9">
        <v>43897</v>
      </c>
      <c r="B77" s="10" t="s">
        <v>241</v>
      </c>
      <c r="C77" s="10" t="s">
        <v>242</v>
      </c>
      <c r="D77" s="10">
        <v>5.2</v>
      </c>
      <c r="E77" s="10" t="s">
        <v>19</v>
      </c>
      <c r="F77" s="10" t="s">
        <v>20</v>
      </c>
      <c r="G77" s="10"/>
      <c r="H77" s="10"/>
      <c r="I77" s="26">
        <v>44021</v>
      </c>
      <c r="J77" s="10" t="s">
        <v>243</v>
      </c>
      <c r="K77" s="12">
        <v>0</v>
      </c>
      <c r="L77" s="13">
        <v>0</v>
      </c>
      <c r="M77" s="13">
        <v>0</v>
      </c>
      <c r="N77" s="14">
        <f>LOG(K77+([1]Values!$D$8*L77)+([1]Values!$D$9*M77)+(O77*[1]Values!D$10)+(P77*[1]Values!$D$11)+1)</f>
        <v>3.9806120691489328E-3</v>
      </c>
      <c r="O77" s="11">
        <v>1</v>
      </c>
      <c r="P77" s="11">
        <v>0</v>
      </c>
      <c r="Q77" s="15" t="s">
        <v>23</v>
      </c>
    </row>
    <row r="78" spans="1:17" ht="12.3">
      <c r="A78" s="9">
        <v>43897</v>
      </c>
      <c r="B78" s="10" t="s">
        <v>244</v>
      </c>
      <c r="C78" s="10" t="s">
        <v>245</v>
      </c>
      <c r="D78" s="10">
        <v>5.0999999999999996</v>
      </c>
      <c r="E78" s="10" t="s">
        <v>19</v>
      </c>
      <c r="F78" s="10" t="s">
        <v>20</v>
      </c>
      <c r="G78" s="10"/>
      <c r="H78" s="10"/>
      <c r="I78" s="10" t="s">
        <v>246</v>
      </c>
      <c r="J78" s="10" t="s">
        <v>247</v>
      </c>
      <c r="K78" s="12">
        <v>0</v>
      </c>
      <c r="L78" s="13">
        <v>0</v>
      </c>
      <c r="M78" s="13">
        <v>0</v>
      </c>
      <c r="N78" s="14">
        <f>LOG(K78+([1]Values!$D$8*L78)+([1]Values!$D$9*M78)+(O78*[1]Values!D$10)+(P78*[1]Values!$D$11)+1)</f>
        <v>1.1834025150509769E-2</v>
      </c>
      <c r="O78" s="11">
        <v>3</v>
      </c>
      <c r="P78" s="11">
        <v>0</v>
      </c>
      <c r="Q78" s="15" t="s">
        <v>23</v>
      </c>
    </row>
    <row r="79" spans="1:17" ht="12.3">
      <c r="A79" s="9">
        <v>43898</v>
      </c>
      <c r="B79" s="10" t="s">
        <v>17</v>
      </c>
      <c r="C79" s="10" t="s">
        <v>248</v>
      </c>
      <c r="D79" s="10">
        <v>4.8</v>
      </c>
      <c r="E79" s="10" t="s">
        <v>19</v>
      </c>
      <c r="F79" s="10" t="s">
        <v>20</v>
      </c>
      <c r="G79" s="10">
        <v>9</v>
      </c>
      <c r="H79" s="10"/>
      <c r="I79" s="10" t="s">
        <v>249</v>
      </c>
      <c r="J79" s="10" t="s">
        <v>250</v>
      </c>
      <c r="K79" s="12">
        <v>0</v>
      </c>
      <c r="L79" s="13">
        <v>0</v>
      </c>
      <c r="M79" s="13">
        <v>0</v>
      </c>
      <c r="N79" s="14">
        <f>LOG(K79+([1]Values!$D$8*L79)+([1]Values!$D$9*M79)+(O79*[1]Values!D$10)+(P79*[1]Values!$D$11)+1)</f>
        <v>1.9547942558039232E-2</v>
      </c>
      <c r="O79" s="16">
        <v>5</v>
      </c>
      <c r="P79" s="11">
        <v>0</v>
      </c>
      <c r="Q79" s="15" t="s">
        <v>23</v>
      </c>
    </row>
    <row r="80" spans="1:17" ht="12.3">
      <c r="A80" s="9">
        <v>43899</v>
      </c>
      <c r="B80" s="10" t="s">
        <v>83</v>
      </c>
      <c r="C80" s="10" t="s">
        <v>251</v>
      </c>
      <c r="D80" s="10">
        <v>5</v>
      </c>
      <c r="E80" s="10" t="s">
        <v>41</v>
      </c>
      <c r="F80" s="10" t="s">
        <v>20</v>
      </c>
      <c r="G80" s="10">
        <v>10</v>
      </c>
      <c r="H80" s="10"/>
      <c r="I80" s="10" t="s">
        <v>252</v>
      </c>
      <c r="J80" s="10" t="s">
        <v>253</v>
      </c>
      <c r="K80" s="12">
        <v>0</v>
      </c>
      <c r="L80" s="13">
        <v>0</v>
      </c>
      <c r="M80" s="13">
        <v>0</v>
      </c>
      <c r="N80" s="14">
        <f>LOG(K80+([1]Values!$D$8*L80)+([1]Values!$D$9*M80)+(O80*[1]Values!D$10)+(P80*[1]Values!$D$11)+1)</f>
        <v>5.6187091593210024E-2</v>
      </c>
      <c r="O80" s="11">
        <v>15</v>
      </c>
      <c r="P80" s="11">
        <v>0</v>
      </c>
      <c r="Q80" s="15" t="s">
        <v>23</v>
      </c>
    </row>
    <row r="81" spans="1:17" ht="12.3">
      <c r="A81" s="9">
        <v>43900</v>
      </c>
      <c r="B81" s="10" t="s">
        <v>44</v>
      </c>
      <c r="C81" s="10" t="s">
        <v>57</v>
      </c>
      <c r="D81" s="10">
        <v>4.9000000000000004</v>
      </c>
      <c r="E81" s="10" t="s">
        <v>19</v>
      </c>
      <c r="F81" s="10" t="s">
        <v>20</v>
      </c>
      <c r="G81" s="10">
        <v>10</v>
      </c>
      <c r="H81" s="10"/>
      <c r="I81" s="10" t="s">
        <v>254</v>
      </c>
      <c r="J81" s="10" t="s">
        <v>255</v>
      </c>
      <c r="K81" s="12">
        <v>0</v>
      </c>
      <c r="L81" s="13">
        <v>3</v>
      </c>
      <c r="M81" s="13">
        <v>1032</v>
      </c>
      <c r="N81" s="14">
        <f>LOG(K81+([1]Values!$D$8*L81)+([1]Values!$D$9*M81)+(O81*[1]Values!D$10)+(P81*[1]Values!$D$11)+1)</f>
        <v>1.4196113812397402</v>
      </c>
      <c r="O81" s="11">
        <v>405</v>
      </c>
      <c r="P81" s="11">
        <v>60</v>
      </c>
      <c r="Q81" s="15" t="s">
        <v>23</v>
      </c>
    </row>
    <row r="82" spans="1:17" ht="12.3">
      <c r="A82" s="9">
        <v>43901</v>
      </c>
      <c r="B82" s="10" t="s">
        <v>44</v>
      </c>
      <c r="C82" s="10" t="s">
        <v>57</v>
      </c>
      <c r="D82" s="10">
        <v>3.7</v>
      </c>
      <c r="E82" s="10" t="s">
        <v>19</v>
      </c>
      <c r="F82" s="10" t="s">
        <v>20</v>
      </c>
      <c r="G82" s="10"/>
      <c r="H82" s="10"/>
      <c r="I82" s="10" t="s">
        <v>256</v>
      </c>
      <c r="J82" s="10" t="s">
        <v>257</v>
      </c>
      <c r="K82" s="12">
        <v>0</v>
      </c>
      <c r="L82" s="13">
        <v>0</v>
      </c>
      <c r="M82" s="13">
        <v>0</v>
      </c>
      <c r="N82" s="14">
        <f>LOG(K82+([1]Values!$D$8*L82)+([1]Values!$D$9*M82)+(O82*[1]Values!D$10)+(P82*[1]Values!$D$11)+1)</f>
        <v>7.925070175666819E-3</v>
      </c>
      <c r="O82" s="11">
        <v>2</v>
      </c>
      <c r="P82" s="11">
        <v>0</v>
      </c>
      <c r="Q82" s="15" t="s">
        <v>23</v>
      </c>
    </row>
    <row r="83" spans="1:17" ht="12.3">
      <c r="A83" s="9">
        <v>43902</v>
      </c>
      <c r="B83" s="10" t="s">
        <v>258</v>
      </c>
      <c r="C83" s="10" t="s">
        <v>259</v>
      </c>
      <c r="D83" s="10">
        <v>5.2</v>
      </c>
      <c r="E83" s="10" t="s">
        <v>19</v>
      </c>
      <c r="F83" s="10" t="s">
        <v>20</v>
      </c>
      <c r="G83" s="10">
        <v>8</v>
      </c>
      <c r="H83" s="10"/>
      <c r="I83" s="10" t="s">
        <v>260</v>
      </c>
      <c r="J83" s="10" t="s">
        <v>261</v>
      </c>
      <c r="K83" s="12">
        <v>0</v>
      </c>
      <c r="L83" s="13">
        <v>2</v>
      </c>
      <c r="M83" s="13">
        <v>0</v>
      </c>
      <c r="N83" s="14">
        <f>LOG(K83+([1]Values!$D$8*L83)+([1]Values!$D$9*M83)+(O83*[1]Values!D$10)+(P83*[1]Values!$D$11)+1)</f>
        <v>0.17794027730381123</v>
      </c>
      <c r="O83" s="16">
        <v>0</v>
      </c>
      <c r="P83" s="11">
        <v>0</v>
      </c>
      <c r="Q83" s="15" t="s">
        <v>23</v>
      </c>
    </row>
    <row r="84" spans="1:17" ht="12.3">
      <c r="A84" s="9">
        <v>43903</v>
      </c>
      <c r="B84" s="10" t="s">
        <v>24</v>
      </c>
      <c r="C84" s="10" t="s">
        <v>212</v>
      </c>
      <c r="D84" s="10">
        <v>2.8</v>
      </c>
      <c r="E84" s="10" t="s">
        <v>19</v>
      </c>
      <c r="F84" s="10" t="s">
        <v>213</v>
      </c>
      <c r="G84" s="10"/>
      <c r="H84" s="10"/>
      <c r="I84" s="10" t="s">
        <v>214</v>
      </c>
      <c r="J84" s="10" t="s">
        <v>215</v>
      </c>
      <c r="K84" s="12">
        <v>0</v>
      </c>
      <c r="L84" s="13">
        <v>0</v>
      </c>
      <c r="M84" s="13">
        <v>0</v>
      </c>
      <c r="N84" s="14">
        <f>LOG(K84+([1]Values!$D$8*L84)+([1]Values!$D$9*M84)+(O84*[1]Values!D$10)+(P84*[1]Values!$D$11)+1)</f>
        <v>3.8253784164563889E-2</v>
      </c>
      <c r="O84" s="16">
        <v>10</v>
      </c>
      <c r="P84" s="11">
        <v>0</v>
      </c>
      <c r="Q84" s="15" t="s">
        <v>23</v>
      </c>
    </row>
    <row r="85" spans="1:17" ht="12.3">
      <c r="A85" s="9">
        <v>43903</v>
      </c>
      <c r="B85" s="10" t="s">
        <v>262</v>
      </c>
      <c r="C85" s="10" t="s">
        <v>263</v>
      </c>
      <c r="D85" s="10">
        <v>4.8</v>
      </c>
      <c r="E85" s="10" t="s">
        <v>19</v>
      </c>
      <c r="F85" s="10" t="s">
        <v>20</v>
      </c>
      <c r="G85" s="10">
        <v>15</v>
      </c>
      <c r="H85" s="10"/>
      <c r="I85" s="10" t="s">
        <v>264</v>
      </c>
      <c r="J85" s="10" t="s">
        <v>265</v>
      </c>
      <c r="K85" s="12">
        <v>0</v>
      </c>
      <c r="L85" s="13">
        <v>0</v>
      </c>
      <c r="M85" s="13">
        <v>0</v>
      </c>
      <c r="N85" s="14">
        <f>LOG(K85+([1]Values!$D$8*L85)+([1]Values!$D$9*M85)+(O85*[1]Values!D$10)+(P85*[1]Values!$D$11)+1)</f>
        <v>7.925070175666819E-3</v>
      </c>
      <c r="O85" s="16">
        <v>2</v>
      </c>
      <c r="P85" s="11">
        <v>0</v>
      </c>
      <c r="Q85" s="15" t="s">
        <v>23</v>
      </c>
    </row>
    <row r="86" spans="1:17" ht="12.3">
      <c r="A86" s="9">
        <v>43904</v>
      </c>
      <c r="B86" s="10" t="s">
        <v>17</v>
      </c>
      <c r="C86" s="10" t="s">
        <v>266</v>
      </c>
      <c r="D86" s="10">
        <v>4</v>
      </c>
      <c r="E86" s="10" t="s">
        <v>19</v>
      </c>
      <c r="F86" s="10" t="s">
        <v>20</v>
      </c>
      <c r="G86" s="10">
        <v>10</v>
      </c>
      <c r="H86" s="10"/>
      <c r="I86" s="10" t="s">
        <v>267</v>
      </c>
      <c r="J86" s="10" t="s">
        <v>268</v>
      </c>
      <c r="K86" s="12">
        <v>0</v>
      </c>
      <c r="L86" s="13">
        <v>0</v>
      </c>
      <c r="M86" s="13">
        <v>0</v>
      </c>
      <c r="N86" s="14">
        <f>LOG(K86+([1]Values!$D$8*L86)+([1]Values!$D$9*M86)+(O86*[1]Values!D$10)+(P86*[1]Values!$D$11)+1)</f>
        <v>3.8253784164563889E-2</v>
      </c>
      <c r="O86" s="16">
        <v>10</v>
      </c>
      <c r="P86" s="11">
        <v>0</v>
      </c>
      <c r="Q86" s="15" t="s">
        <v>23</v>
      </c>
    </row>
    <row r="87" spans="1:17" ht="12.3">
      <c r="A87" s="9">
        <v>43905</v>
      </c>
      <c r="B87" s="10" t="s">
        <v>17</v>
      </c>
      <c r="C87" s="10" t="s">
        <v>110</v>
      </c>
      <c r="D87" s="10">
        <v>5.4</v>
      </c>
      <c r="E87" s="10" t="s">
        <v>19</v>
      </c>
      <c r="F87" s="10" t="s">
        <v>20</v>
      </c>
      <c r="G87" s="10">
        <v>16</v>
      </c>
      <c r="H87" s="10"/>
      <c r="I87" s="10" t="s">
        <v>269</v>
      </c>
      <c r="J87" s="10" t="s">
        <v>270</v>
      </c>
      <c r="K87" s="12">
        <v>0</v>
      </c>
      <c r="L87" s="13">
        <v>2</v>
      </c>
      <c r="M87" s="13"/>
      <c r="N87" s="14">
        <f>LOG(K87+([1]Values!$D$8*L87)+([1]Values!$D$9*M87)+(O87*[1]Values!D$10)+(P87*[1]Values!$D$11)+1)</f>
        <v>0.23597187945419959</v>
      </c>
      <c r="O87" s="16">
        <v>20</v>
      </c>
      <c r="P87" s="11">
        <v>1</v>
      </c>
      <c r="Q87" s="15" t="s">
        <v>23</v>
      </c>
    </row>
    <row r="88" spans="1:17" ht="12.3">
      <c r="A88" s="9">
        <v>43906</v>
      </c>
      <c r="B88" s="10" t="s">
        <v>24</v>
      </c>
      <c r="C88" s="10" t="s">
        <v>271</v>
      </c>
      <c r="D88" s="10">
        <v>3.1</v>
      </c>
      <c r="E88" s="10" t="s">
        <v>19</v>
      </c>
      <c r="F88" s="10" t="s">
        <v>20</v>
      </c>
      <c r="G88" s="10"/>
      <c r="H88" s="10"/>
      <c r="I88" s="24">
        <v>44100</v>
      </c>
      <c r="J88" s="10" t="s">
        <v>272</v>
      </c>
      <c r="K88" s="12">
        <v>0</v>
      </c>
      <c r="L88" s="13">
        <v>0</v>
      </c>
      <c r="M88" s="13">
        <v>0</v>
      </c>
      <c r="N88" s="14">
        <f>LOG(K88+([1]Values!$D$8*L88)+([1]Values!$D$9*M88)+(O88*[1]Values!D$10)+(P88*[1]Values!$D$11)+1)</f>
        <v>7.925070175666819E-3</v>
      </c>
      <c r="O88" s="16">
        <v>2</v>
      </c>
      <c r="P88" s="11">
        <v>0</v>
      </c>
      <c r="Q88" s="15" t="s">
        <v>23</v>
      </c>
    </row>
    <row r="89" spans="1:17" ht="12.3">
      <c r="A89" s="9">
        <v>43908</v>
      </c>
      <c r="B89" s="10" t="s">
        <v>39</v>
      </c>
      <c r="C89" s="10" t="s">
        <v>273</v>
      </c>
      <c r="D89" s="10">
        <v>5.7</v>
      </c>
      <c r="E89" s="10" t="s">
        <v>19</v>
      </c>
      <c r="F89" s="10" t="s">
        <v>20</v>
      </c>
      <c r="G89" s="10">
        <v>11</v>
      </c>
      <c r="H89" s="10"/>
      <c r="I89" s="10" t="s">
        <v>274</v>
      </c>
      <c r="J89" s="10" t="s">
        <v>275</v>
      </c>
      <c r="K89" s="12"/>
      <c r="L89" s="13"/>
      <c r="M89" s="13"/>
      <c r="N89" s="14">
        <f>LOG(K89+([1]Values!$D$8*L89)+([1]Values!$D$9*M89)+(O89*[1]Values!D$10)+(P89*[1]Values!$D$11)+1)</f>
        <v>0</v>
      </c>
      <c r="O89" s="16"/>
      <c r="P89" s="11"/>
      <c r="Q89" s="15"/>
    </row>
    <row r="90" spans="1:17" ht="12.3">
      <c r="A90" s="9"/>
      <c r="B90" s="10"/>
      <c r="C90" s="10"/>
      <c r="D90" s="10"/>
      <c r="E90" s="10"/>
      <c r="F90" s="10"/>
      <c r="G90" s="10"/>
      <c r="H90" s="10"/>
      <c r="I90" s="10"/>
      <c r="J90" s="10"/>
      <c r="K90" s="12"/>
      <c r="L90" s="13"/>
      <c r="M90" s="13"/>
      <c r="N90" s="14">
        <f>LOG(K90+([1]Values!$D$8*L90)+([1]Values!$D$9*M90)+(O90*[1]Values!D$10)+(P90*[1]Values!$D$11)+1)</f>
        <v>0</v>
      </c>
      <c r="O90" s="16"/>
      <c r="P90" s="11"/>
      <c r="Q90" s="15"/>
    </row>
    <row r="91" spans="1:17" ht="12.3">
      <c r="A91" s="9"/>
      <c r="B91" s="10"/>
      <c r="C91" s="10"/>
      <c r="D91" s="10"/>
      <c r="E91" s="10"/>
      <c r="F91" s="10"/>
      <c r="G91" s="10"/>
      <c r="H91" s="10"/>
      <c r="I91" s="10"/>
      <c r="J91" s="10"/>
      <c r="K91" s="12"/>
      <c r="L91" s="13"/>
      <c r="M91" s="13"/>
      <c r="N91" s="14">
        <f>LOG(K91+([1]Values!$D$8*L91)+([1]Values!$D$9*M91)+(O91*[1]Values!D$10)+(P91*[1]Values!$D$11)+1)</f>
        <v>0</v>
      </c>
      <c r="O91" s="16"/>
      <c r="P91" s="11"/>
      <c r="Q91" s="15"/>
    </row>
    <row r="92" spans="1:17" ht="12.3">
      <c r="A92" s="9"/>
      <c r="B92" s="10"/>
      <c r="C92" s="10"/>
      <c r="D92" s="10"/>
      <c r="E92" s="10"/>
      <c r="F92" s="10"/>
      <c r="G92" s="10"/>
      <c r="H92" s="10"/>
      <c r="I92" s="10"/>
      <c r="J92" s="10"/>
      <c r="K92" s="12"/>
      <c r="L92" s="13"/>
      <c r="M92" s="13"/>
      <c r="N92" s="14">
        <f>LOG(K92+([1]Values!$D$8*L92)+([1]Values!$D$9*M92)+(O92*[1]Values!D$10)+(P92*[1]Values!$D$11)+1)</f>
        <v>0</v>
      </c>
      <c r="O92" s="16"/>
      <c r="P92" s="11"/>
      <c r="Q92" s="15"/>
    </row>
    <row r="93" spans="1:17" ht="12.3">
      <c r="A93" s="9"/>
      <c r="B93" s="10"/>
      <c r="C93" s="10"/>
      <c r="D93" s="10"/>
      <c r="E93" s="10"/>
      <c r="F93" s="10"/>
      <c r="G93" s="10"/>
      <c r="H93" s="10"/>
      <c r="I93" s="10"/>
      <c r="J93" s="10"/>
      <c r="K93" s="12"/>
      <c r="L93" s="13"/>
      <c r="M93" s="13"/>
      <c r="N93" s="14">
        <f>LOG(K93+([1]Values!$D$8*L93)+([1]Values!$D$9*M93)+(O93*[1]Values!D$10)+(P93*[1]Values!$D$11)+1)</f>
        <v>0</v>
      </c>
      <c r="O93" s="16"/>
      <c r="P93" s="11"/>
      <c r="Q93" s="15"/>
    </row>
    <row r="94" spans="1:17" ht="12.3">
      <c r="A94" s="9"/>
      <c r="B94" s="10"/>
      <c r="C94" s="10"/>
      <c r="D94" s="10"/>
      <c r="E94" s="10"/>
      <c r="F94" s="10"/>
      <c r="G94" s="10"/>
      <c r="H94" s="10"/>
      <c r="I94" s="10"/>
      <c r="J94" s="10"/>
      <c r="K94" s="12"/>
      <c r="L94" s="13"/>
      <c r="M94" s="13"/>
      <c r="N94" s="14">
        <f>LOG(K94+([1]Values!$D$8*L94)+([1]Values!$D$9*M94)+(O94*[1]Values!D$10)+(P94*[1]Values!$D$11)+1)</f>
        <v>0</v>
      </c>
      <c r="O94" s="16"/>
      <c r="P94" s="11"/>
      <c r="Q94" s="15"/>
    </row>
    <row r="95" spans="1:17" ht="12.3">
      <c r="A95" s="9"/>
      <c r="B95" s="10"/>
      <c r="C95" s="10"/>
      <c r="D95" s="10"/>
      <c r="E95" s="10"/>
      <c r="F95" s="10"/>
      <c r="G95" s="10"/>
      <c r="H95" s="10"/>
      <c r="I95" s="10"/>
      <c r="J95" s="10"/>
      <c r="K95" s="12"/>
      <c r="L95" s="13"/>
      <c r="M95" s="13"/>
      <c r="N95" s="14">
        <f>LOG(K95+([1]Values!$D$8*L95)+([1]Values!$D$9*M95)+(O95*[1]Values!D$10)+(P95*[1]Values!$D$11)+1)</f>
        <v>0</v>
      </c>
      <c r="O95" s="16"/>
      <c r="P95" s="11"/>
      <c r="Q95" s="15"/>
    </row>
    <row r="96" spans="1:17" ht="12.3">
      <c r="A96" s="9"/>
      <c r="B96" s="10"/>
      <c r="C96" s="10"/>
      <c r="D96" s="10"/>
      <c r="E96" s="10"/>
      <c r="F96" s="10"/>
      <c r="G96" s="10"/>
      <c r="H96" s="10"/>
      <c r="I96" s="10"/>
      <c r="J96" s="10"/>
      <c r="K96" s="12"/>
      <c r="L96" s="13"/>
      <c r="M96" s="13"/>
      <c r="N96" s="14">
        <f>LOG(K96+([1]Values!$D$8*L96)+([1]Values!$D$9*M96)+(O96*[1]Values!D$10)+(P96*[1]Values!$D$11)+1)</f>
        <v>0</v>
      </c>
      <c r="O96" s="16"/>
      <c r="P96" s="11"/>
      <c r="Q96" s="15"/>
    </row>
    <row r="97" spans="1:17" ht="12.3">
      <c r="A97" s="9"/>
      <c r="B97" s="10"/>
      <c r="C97" s="10"/>
      <c r="D97" s="10"/>
      <c r="E97" s="10"/>
      <c r="F97" s="10"/>
      <c r="G97" s="10"/>
      <c r="H97" s="10"/>
      <c r="I97" s="10"/>
      <c r="J97" s="10"/>
      <c r="K97" s="12"/>
      <c r="L97" s="13"/>
      <c r="M97" s="13"/>
      <c r="N97" s="14">
        <f>LOG(K97+([1]Values!$D$8*L97)+([1]Values!$D$9*M97)+(O97*[1]Values!D$10)+(P97*[1]Values!$D$11)+1)</f>
        <v>0</v>
      </c>
      <c r="O97" s="16"/>
      <c r="P97" s="11"/>
      <c r="Q97" s="15"/>
    </row>
    <row r="98" spans="1:17" ht="12.3">
      <c r="A98" s="9"/>
      <c r="B98" s="10"/>
      <c r="C98" s="10"/>
      <c r="D98" s="10"/>
      <c r="E98" s="10"/>
      <c r="F98" s="10"/>
      <c r="G98" s="10"/>
      <c r="H98" s="10"/>
      <c r="I98" s="10"/>
      <c r="J98" s="10"/>
      <c r="K98" s="12"/>
      <c r="L98" s="13"/>
      <c r="M98" s="13"/>
      <c r="N98" s="14">
        <f>LOG(K98+([1]Values!$D$8*L98)+([1]Values!$D$9*M98)+(O98*[1]Values!D$10)+(P98*[1]Values!$D$11)+1)</f>
        <v>0</v>
      </c>
      <c r="O98" s="16"/>
      <c r="P98" s="11"/>
      <c r="Q98" s="15"/>
    </row>
    <row r="99" spans="1:17" ht="12.3">
      <c r="A99" s="9"/>
      <c r="B99" s="10"/>
      <c r="C99" s="10"/>
      <c r="D99" s="10"/>
      <c r="E99" s="10"/>
      <c r="F99" s="10"/>
      <c r="G99" s="10"/>
      <c r="H99" s="10"/>
      <c r="I99" s="10"/>
      <c r="J99" s="10"/>
      <c r="K99" s="12"/>
      <c r="L99" s="13"/>
      <c r="M99" s="13"/>
      <c r="N99" s="14">
        <f>LOG(K99+([1]Values!$D$8*L99)+([1]Values!$D$9*M99)+(O99*[1]Values!D$10)+(P99*[1]Values!$D$11)+1)</f>
        <v>0</v>
      </c>
      <c r="O99" s="16"/>
      <c r="P99" s="11"/>
      <c r="Q99" s="15"/>
    </row>
    <row r="100" spans="1:17" ht="12.3">
      <c r="A100" s="9"/>
      <c r="B100" s="10"/>
      <c r="C100" s="10"/>
      <c r="D100" s="10"/>
      <c r="E100" s="10"/>
      <c r="F100" s="10"/>
      <c r="G100" s="10"/>
      <c r="H100" s="10"/>
      <c r="I100" s="10"/>
      <c r="J100" s="10"/>
      <c r="K100" s="12"/>
      <c r="L100" s="13"/>
      <c r="M100" s="13"/>
      <c r="N100" s="14">
        <f>LOG(K100+([1]Values!$D$8*L100)+([1]Values!$D$9*M100)+(O100*[1]Values!D$10)+(P100*[1]Values!$D$11)+1)</f>
        <v>0</v>
      </c>
      <c r="O100" s="16"/>
      <c r="P100" s="11"/>
      <c r="Q100" s="15"/>
    </row>
    <row r="101" spans="1:17" ht="12.3">
      <c r="A101" s="9"/>
      <c r="B101" s="10"/>
      <c r="C101" s="10"/>
      <c r="D101" s="10"/>
      <c r="E101" s="10"/>
      <c r="F101" s="10"/>
      <c r="G101" s="10"/>
      <c r="H101" s="10"/>
      <c r="I101" s="10"/>
      <c r="J101" s="10"/>
      <c r="K101" s="12"/>
      <c r="L101" s="13"/>
      <c r="M101" s="13"/>
      <c r="N101" s="14">
        <f>LOG(K101+([1]Values!$D$8*L101)+([1]Values!$D$9*M101)+(O101*[1]Values!D$10)+(P101*[1]Values!$D$11)+1)</f>
        <v>0</v>
      </c>
      <c r="O101" s="16"/>
      <c r="P101" s="11"/>
      <c r="Q101" s="15"/>
    </row>
    <row r="102" spans="1:17" ht="12.3">
      <c r="A102" s="9"/>
      <c r="B102" s="10"/>
      <c r="C102" s="10"/>
      <c r="D102" s="10"/>
      <c r="E102" s="10"/>
      <c r="F102" s="10"/>
      <c r="G102" s="10"/>
      <c r="H102" s="10"/>
      <c r="I102" s="10"/>
      <c r="J102" s="10"/>
      <c r="K102" s="12"/>
      <c r="L102" s="13"/>
      <c r="M102" s="13"/>
      <c r="N102" s="14">
        <f>LOG(K102+([1]Values!$D$8*L102)+([1]Values!$D$9*M102)+(O102*[1]Values!D$10)+(P102*[1]Values!$D$11)+1)</f>
        <v>0</v>
      </c>
      <c r="O102" s="16"/>
      <c r="P102" s="11"/>
      <c r="Q102" s="15"/>
    </row>
    <row r="103" spans="1:17" ht="12.3">
      <c r="A103" s="9"/>
      <c r="B103" s="10"/>
      <c r="C103" s="10"/>
      <c r="D103" s="10"/>
      <c r="E103" s="10"/>
      <c r="F103" s="10"/>
      <c r="G103" s="10"/>
      <c r="H103" s="10"/>
      <c r="I103" s="10"/>
      <c r="J103" s="10"/>
      <c r="K103" s="12"/>
      <c r="L103" s="13"/>
      <c r="M103" s="13"/>
      <c r="N103" s="14">
        <f>LOG(K103+([1]Values!$D$8*L103)+([1]Values!$D$9*M103)+(O103*[1]Values!D$10)+(P103*[1]Values!$D$11)+1)</f>
        <v>0</v>
      </c>
      <c r="O103" s="16"/>
      <c r="P103" s="11"/>
      <c r="Q103" s="15"/>
    </row>
    <row r="104" spans="1:17" ht="12.3">
      <c r="A104" s="9"/>
      <c r="B104" s="10"/>
      <c r="C104" s="10"/>
      <c r="D104" s="10"/>
      <c r="E104" s="10"/>
      <c r="F104" s="10"/>
      <c r="G104" s="10"/>
      <c r="H104" s="10"/>
      <c r="I104" s="10"/>
      <c r="J104" s="10"/>
      <c r="K104" s="12"/>
      <c r="L104" s="13"/>
      <c r="M104" s="13"/>
      <c r="N104" s="14">
        <f>LOG(K104+([1]Values!$D$8*L104)+([1]Values!$D$9*M104)+(O104*[1]Values!D$10)+(P104*[1]Values!$D$11)+1)</f>
        <v>0</v>
      </c>
      <c r="O104" s="16"/>
      <c r="P104" s="11"/>
      <c r="Q104" s="15"/>
    </row>
    <row r="105" spans="1:17" ht="12.3">
      <c r="A105" s="9"/>
      <c r="B105" s="10"/>
      <c r="C105" s="10"/>
      <c r="D105" s="10"/>
      <c r="E105" s="10"/>
      <c r="F105" s="10"/>
      <c r="G105" s="10"/>
      <c r="H105" s="10"/>
      <c r="I105" s="10"/>
      <c r="J105" s="10"/>
      <c r="K105" s="12"/>
      <c r="L105" s="13"/>
      <c r="M105" s="13"/>
      <c r="N105" s="14">
        <f>LOG(K105+([1]Values!$D$8*L105)+([1]Values!$D$9*M105)+(O105*[1]Values!D$10)+(P105*[1]Values!$D$11)+1)</f>
        <v>0</v>
      </c>
      <c r="O105" s="16"/>
      <c r="P105" s="11"/>
      <c r="Q105" s="15"/>
    </row>
    <row r="106" spans="1:17" ht="12.3">
      <c r="A106" s="9"/>
      <c r="B106" s="10"/>
      <c r="C106" s="10"/>
      <c r="D106" s="10"/>
      <c r="E106" s="10"/>
      <c r="F106" s="10"/>
      <c r="G106" s="10"/>
      <c r="H106" s="10"/>
      <c r="I106" s="10"/>
      <c r="J106" s="10"/>
      <c r="K106" s="12"/>
      <c r="L106" s="13"/>
      <c r="M106" s="13"/>
      <c r="N106" s="14">
        <f>LOG(K106+([1]Values!$D$8*L106)+([1]Values!$D$9*M106)+(O106*[1]Values!D$10)+(P106*[1]Values!$D$11)+1)</f>
        <v>0</v>
      </c>
      <c r="O106" s="16"/>
      <c r="P106" s="11"/>
      <c r="Q106" s="15"/>
    </row>
    <row r="107" spans="1:17" ht="12.3">
      <c r="A107" s="9"/>
      <c r="B107" s="10"/>
      <c r="C107" s="10"/>
      <c r="D107" s="10"/>
      <c r="E107" s="10"/>
      <c r="F107" s="10"/>
      <c r="G107" s="10"/>
      <c r="H107" s="10"/>
      <c r="I107" s="10"/>
      <c r="J107" s="10"/>
      <c r="K107" s="12"/>
      <c r="L107" s="13"/>
      <c r="M107" s="13"/>
      <c r="N107" s="14">
        <f>LOG(K107+([1]Values!$D$8*L107)+([1]Values!$D$9*M107)+(O107*[1]Values!D$10)+(P107*[1]Values!$D$11)+1)</f>
        <v>0</v>
      </c>
      <c r="O107" s="16"/>
      <c r="P107" s="11"/>
      <c r="Q107" s="15"/>
    </row>
    <row r="108" spans="1:17" ht="12.3">
      <c r="A108" s="9"/>
      <c r="B108" s="10"/>
      <c r="C108" s="10"/>
      <c r="D108" s="10"/>
      <c r="E108" s="10"/>
      <c r="F108" s="10"/>
      <c r="G108" s="10"/>
      <c r="H108" s="10"/>
      <c r="I108" s="10"/>
      <c r="J108" s="10"/>
      <c r="K108" s="12"/>
      <c r="L108" s="13"/>
      <c r="M108" s="13"/>
      <c r="N108" s="14">
        <f>LOG(K108+([1]Values!$D$8*L108)+([1]Values!$D$9*M108)+(O108*[1]Values!D$10)+(P108*[1]Values!$D$11)+1)</f>
        <v>0</v>
      </c>
      <c r="O108" s="16"/>
      <c r="P108" s="11"/>
      <c r="Q108" s="15"/>
    </row>
    <row r="109" spans="1:17" ht="12.3">
      <c r="A109" s="9"/>
      <c r="B109" s="10"/>
      <c r="C109" s="10"/>
      <c r="D109" s="10"/>
      <c r="E109" s="10"/>
      <c r="F109" s="10"/>
      <c r="G109" s="10"/>
      <c r="H109" s="10"/>
      <c r="I109" s="10"/>
      <c r="J109" s="10"/>
      <c r="K109" s="12"/>
      <c r="L109" s="13"/>
      <c r="M109" s="13"/>
      <c r="N109" s="14">
        <f>LOG(K109+([1]Values!$D$8*L109)+([1]Values!$D$9*M109)+(O109*[1]Values!D$10)+(P109*[1]Values!$D$11)+1)</f>
        <v>0</v>
      </c>
      <c r="O109" s="16"/>
      <c r="P109" s="11"/>
      <c r="Q109" s="15"/>
    </row>
    <row r="110" spans="1:17" ht="12.3">
      <c r="A110" s="9"/>
      <c r="B110" s="10"/>
      <c r="C110" s="10"/>
      <c r="D110" s="10"/>
      <c r="E110" s="10"/>
      <c r="F110" s="10"/>
      <c r="G110" s="10"/>
      <c r="H110" s="10"/>
      <c r="I110" s="10"/>
      <c r="J110" s="10"/>
      <c r="K110" s="12"/>
      <c r="L110" s="13"/>
      <c r="M110" s="13"/>
      <c r="N110" s="14">
        <f>LOG(K110+([1]Values!$D$8*L110)+([1]Values!$D$9*M110)+(O110*[1]Values!D$10)+(P110*[1]Values!$D$11)+1)</f>
        <v>0</v>
      </c>
      <c r="O110" s="16"/>
      <c r="P110" s="11"/>
      <c r="Q110" s="15"/>
    </row>
    <row r="111" spans="1:17" ht="12.3">
      <c r="A111" s="9"/>
      <c r="B111" s="10"/>
      <c r="C111" s="10"/>
      <c r="D111" s="10"/>
      <c r="E111" s="10"/>
      <c r="F111" s="10"/>
      <c r="G111" s="10"/>
      <c r="H111" s="10"/>
      <c r="I111" s="10"/>
      <c r="J111" s="10"/>
      <c r="K111" s="12"/>
      <c r="L111" s="13"/>
      <c r="M111" s="13"/>
      <c r="N111" s="14">
        <f>LOG(K111+([1]Values!$D$8*L111)+([1]Values!$D$9*M111)+(O111*[1]Values!D$10)+(P111*[1]Values!$D$11)+1)</f>
        <v>0</v>
      </c>
      <c r="O111" s="16"/>
      <c r="P111" s="11"/>
      <c r="Q111" s="15"/>
    </row>
    <row r="112" spans="1:17" ht="12.3">
      <c r="A112" s="9"/>
      <c r="B112" s="10"/>
      <c r="C112" s="10"/>
      <c r="D112" s="10"/>
      <c r="E112" s="10"/>
      <c r="F112" s="10"/>
      <c r="G112" s="10"/>
      <c r="H112" s="10"/>
      <c r="I112" s="10"/>
      <c r="J112" s="10"/>
      <c r="K112" s="12"/>
      <c r="L112" s="13"/>
      <c r="M112" s="13"/>
      <c r="N112" s="14">
        <f>LOG(K112+([1]Values!$D$8*L112)+([1]Values!$D$9*M112)+(O112*[1]Values!D$10)+(P112*[1]Values!$D$11)+1)</f>
        <v>0</v>
      </c>
      <c r="O112" s="16"/>
      <c r="P112" s="11"/>
      <c r="Q112" s="15"/>
    </row>
    <row r="113" spans="1:17" ht="12.3">
      <c r="A113" s="9"/>
      <c r="B113" s="10"/>
      <c r="C113" s="10"/>
      <c r="D113" s="10"/>
      <c r="E113" s="10"/>
      <c r="F113" s="10"/>
      <c r="G113" s="10"/>
      <c r="H113" s="10"/>
      <c r="I113" s="10"/>
      <c r="J113" s="10"/>
      <c r="K113" s="12"/>
      <c r="L113" s="13"/>
      <c r="M113" s="13"/>
      <c r="N113" s="14">
        <f>LOG(K113+([1]Values!$D$8*L113)+([1]Values!$D$9*M113)+(O113*[1]Values!D$10)+(P113*[1]Values!$D$11)+1)</f>
        <v>0</v>
      </c>
      <c r="O113" s="16"/>
      <c r="P113" s="11"/>
      <c r="Q113" s="15"/>
    </row>
    <row r="114" spans="1:17" ht="12.3">
      <c r="A114" s="9"/>
      <c r="B114" s="10"/>
      <c r="C114" s="10"/>
      <c r="D114" s="10"/>
      <c r="E114" s="10"/>
      <c r="F114" s="10"/>
      <c r="G114" s="10"/>
      <c r="H114" s="10"/>
      <c r="I114" s="10"/>
      <c r="J114" s="10"/>
      <c r="K114" s="12"/>
      <c r="L114" s="13"/>
      <c r="M114" s="13"/>
      <c r="N114" s="14">
        <f>LOG(K114+([1]Values!$D$8*L114)+([1]Values!$D$9*M114)+(O114*[1]Values!D$10)+(P114*[1]Values!$D$11)+1)</f>
        <v>0</v>
      </c>
      <c r="O114" s="16"/>
      <c r="P114" s="11"/>
      <c r="Q114" s="15"/>
    </row>
    <row r="115" spans="1:17" ht="12.3">
      <c r="A115" s="9"/>
      <c r="B115" s="10"/>
      <c r="C115" s="10"/>
      <c r="D115" s="10"/>
      <c r="E115" s="10"/>
      <c r="F115" s="10"/>
      <c r="G115" s="10"/>
      <c r="H115" s="10"/>
      <c r="I115" s="10"/>
      <c r="J115" s="10"/>
      <c r="K115" s="12"/>
      <c r="L115" s="13"/>
      <c r="M115" s="13"/>
      <c r="N115" s="14">
        <f>LOG(K115+([1]Values!$D$8*L115)+([1]Values!$D$9*M115)+(O115*[1]Values!D$10)+(P115*[1]Values!$D$11)+1)</f>
        <v>0</v>
      </c>
      <c r="O115" s="16"/>
      <c r="P115" s="11"/>
      <c r="Q115" s="15"/>
    </row>
    <row r="116" spans="1:17" ht="12.3">
      <c r="A116" s="9"/>
      <c r="B116" s="10"/>
      <c r="C116" s="10"/>
      <c r="D116" s="10"/>
      <c r="E116" s="10"/>
      <c r="F116" s="10"/>
      <c r="G116" s="10"/>
      <c r="H116" s="10"/>
      <c r="I116" s="10"/>
      <c r="J116" s="10"/>
      <c r="K116" s="12"/>
      <c r="L116" s="13"/>
      <c r="M116" s="13"/>
      <c r="N116" s="14">
        <f>LOG(K116+([1]Values!$D$8*L116)+([1]Values!$D$9*M116)+(O116*[1]Values!D$10)+(P116*[1]Values!$D$11)+1)</f>
        <v>0</v>
      </c>
      <c r="O116" s="16"/>
      <c r="P116" s="11"/>
      <c r="Q116" s="15"/>
    </row>
    <row r="117" spans="1:17" ht="12.3">
      <c r="A117" s="9"/>
      <c r="B117" s="10"/>
      <c r="C117" s="10"/>
      <c r="D117" s="10"/>
      <c r="E117" s="10"/>
      <c r="F117" s="10"/>
      <c r="G117" s="10"/>
      <c r="H117" s="10"/>
      <c r="I117" s="10"/>
      <c r="J117" s="10"/>
      <c r="K117" s="12"/>
      <c r="L117" s="13"/>
      <c r="M117" s="13"/>
      <c r="N117" s="14">
        <f>LOG(K117+([1]Values!$D$8*L117)+([1]Values!$D$9*M117)+(O117*[1]Values!D$10)+(P117*[1]Values!$D$11)+1)</f>
        <v>0</v>
      </c>
      <c r="O117" s="16"/>
      <c r="P117" s="11"/>
      <c r="Q117" s="15"/>
    </row>
    <row r="118" spans="1:17" ht="12.3">
      <c r="A118" s="9"/>
      <c r="B118" s="10"/>
      <c r="C118" s="10"/>
      <c r="D118" s="10"/>
      <c r="E118" s="10"/>
      <c r="F118" s="10"/>
      <c r="G118" s="10"/>
      <c r="H118" s="10"/>
      <c r="I118" s="10"/>
      <c r="J118" s="10"/>
      <c r="K118" s="12"/>
      <c r="L118" s="13"/>
      <c r="M118" s="13"/>
      <c r="N118" s="14">
        <f>LOG(K118+([1]Values!$D$8*L118)+([1]Values!$D$9*M118)+(O118*[1]Values!D$10)+(P118*[1]Values!$D$11)+1)</f>
        <v>0</v>
      </c>
      <c r="O118" s="16"/>
      <c r="P118" s="11"/>
      <c r="Q118" s="15"/>
    </row>
    <row r="119" spans="1:17" ht="12.3">
      <c r="A119" s="9"/>
      <c r="B119" s="10"/>
      <c r="C119" s="10"/>
      <c r="D119" s="10"/>
      <c r="E119" s="10"/>
      <c r="F119" s="10"/>
      <c r="G119" s="10"/>
      <c r="H119" s="10"/>
      <c r="I119" s="10"/>
      <c r="J119" s="10"/>
      <c r="K119" s="12"/>
      <c r="L119" s="13"/>
      <c r="M119" s="13"/>
      <c r="N119" s="14">
        <f>LOG(K119+([1]Values!$D$8*L119)+([1]Values!$D$9*M119)+(O119*[1]Values!D$10)+(P119*[1]Values!$D$11)+1)</f>
        <v>0</v>
      </c>
      <c r="O119" s="16"/>
      <c r="P119" s="11"/>
      <c r="Q119" s="15"/>
    </row>
    <row r="120" spans="1:17" ht="12.3">
      <c r="A120" s="9"/>
      <c r="B120" s="10"/>
      <c r="C120" s="10"/>
      <c r="D120" s="10"/>
      <c r="E120" s="10"/>
      <c r="F120" s="10"/>
      <c r="G120" s="10"/>
      <c r="H120" s="10"/>
      <c r="I120" s="10"/>
      <c r="J120" s="10"/>
      <c r="K120" s="12"/>
      <c r="L120" s="13"/>
      <c r="M120" s="13"/>
      <c r="N120" s="14">
        <f>LOG(K120+([1]Values!$D$8*L120)+([1]Values!$D$9*M120)+(O120*[1]Values!D$10)+(P120*[1]Values!$D$11)+1)</f>
        <v>0</v>
      </c>
      <c r="O120" s="16"/>
      <c r="P120" s="11"/>
      <c r="Q120" s="15"/>
    </row>
    <row r="121" spans="1:17" ht="12.3">
      <c r="A121" s="9"/>
      <c r="B121" s="10"/>
      <c r="C121" s="10"/>
      <c r="D121" s="10"/>
      <c r="E121" s="10"/>
      <c r="F121" s="10"/>
      <c r="G121" s="10"/>
      <c r="H121" s="10"/>
      <c r="I121" s="10"/>
      <c r="J121" s="10"/>
      <c r="K121" s="12"/>
      <c r="L121" s="13"/>
      <c r="M121" s="13"/>
      <c r="N121" s="14">
        <f>LOG(K121+([1]Values!$D$8*L121)+([1]Values!$D$9*M121)+(O121*[1]Values!D$10)+(P121*[1]Values!$D$11)+1)</f>
        <v>0</v>
      </c>
      <c r="O121" s="16"/>
      <c r="P121" s="11"/>
      <c r="Q121" s="15"/>
    </row>
    <row r="122" spans="1:17" ht="12.3">
      <c r="A122" s="9"/>
      <c r="B122" s="10"/>
      <c r="C122" s="10"/>
      <c r="D122" s="10"/>
      <c r="E122" s="10"/>
      <c r="F122" s="10"/>
      <c r="G122" s="10"/>
      <c r="H122" s="10"/>
      <c r="I122" s="10"/>
      <c r="J122" s="10"/>
      <c r="K122" s="12"/>
      <c r="L122" s="13"/>
      <c r="M122" s="13"/>
      <c r="N122" s="14">
        <f>LOG(K122+([1]Values!$D$8*L122)+([1]Values!$D$9*M122)+(O122*[1]Values!D$10)+(P122*[1]Values!$D$11)+1)</f>
        <v>0</v>
      </c>
      <c r="O122" s="16"/>
      <c r="P122" s="11"/>
      <c r="Q122" s="15"/>
    </row>
    <row r="123" spans="1:17" ht="12.3">
      <c r="A123" s="9"/>
      <c r="B123" s="10"/>
      <c r="C123" s="10"/>
      <c r="D123" s="10"/>
      <c r="E123" s="10"/>
      <c r="F123" s="10"/>
      <c r="G123" s="10"/>
      <c r="H123" s="10"/>
      <c r="I123" s="10"/>
      <c r="J123" s="10"/>
      <c r="K123" s="12"/>
      <c r="L123" s="13"/>
      <c r="M123" s="13"/>
      <c r="N123" s="14">
        <f>LOG(K123+([1]Values!$D$8*L123)+([1]Values!$D$9*M123)+(O123*[1]Values!D$10)+(P123*[1]Values!$D$11)+1)</f>
        <v>0</v>
      </c>
      <c r="O123" s="16"/>
      <c r="P123" s="11"/>
      <c r="Q123" s="15"/>
    </row>
    <row r="124" spans="1:17" ht="12.3">
      <c r="A124" s="9"/>
      <c r="B124" s="10"/>
      <c r="C124" s="10"/>
      <c r="D124" s="10"/>
      <c r="E124" s="10"/>
      <c r="F124" s="10"/>
      <c r="G124" s="10"/>
      <c r="H124" s="10"/>
      <c r="I124" s="10"/>
      <c r="J124" s="10"/>
      <c r="K124" s="12"/>
      <c r="L124" s="13"/>
      <c r="M124" s="13"/>
      <c r="N124" s="14">
        <f>LOG(K124+([1]Values!$D$8*L124)+([1]Values!$D$9*M124)+(O124*[1]Values!D$10)+(P124*[1]Values!$D$11)+1)</f>
        <v>0</v>
      </c>
      <c r="O124" s="16"/>
      <c r="P124" s="11"/>
      <c r="Q124" s="15"/>
    </row>
    <row r="125" spans="1:17" ht="12.3">
      <c r="A125" s="9"/>
      <c r="B125" s="10"/>
      <c r="C125" s="10"/>
      <c r="D125" s="10"/>
      <c r="E125" s="10"/>
      <c r="F125" s="10"/>
      <c r="G125" s="10"/>
      <c r="H125" s="10"/>
      <c r="I125" s="10"/>
      <c r="J125" s="10"/>
      <c r="K125" s="12"/>
      <c r="L125" s="13"/>
      <c r="M125" s="13"/>
      <c r="N125" s="14">
        <f>LOG(K125+([1]Values!$D$8*L125)+([1]Values!$D$9*M125)+(O125*[1]Values!D$10)+(P125*[1]Values!$D$11)+1)</f>
        <v>0</v>
      </c>
      <c r="O125" s="16"/>
      <c r="P125" s="11"/>
      <c r="Q125" s="15"/>
    </row>
    <row r="126" spans="1:17" ht="12.3">
      <c r="A126" s="9"/>
      <c r="B126" s="10"/>
      <c r="C126" s="10"/>
      <c r="D126" s="10"/>
      <c r="E126" s="10"/>
      <c r="F126" s="10"/>
      <c r="G126" s="10"/>
      <c r="H126" s="10"/>
      <c r="I126" s="10"/>
      <c r="J126" s="10"/>
      <c r="K126" s="12"/>
      <c r="L126" s="13"/>
      <c r="M126" s="13"/>
      <c r="N126" s="14">
        <f>LOG(K126+([1]Values!$D$8*L126)+([1]Values!$D$9*M126)+(O126*[1]Values!D$10)+(P126*[1]Values!$D$11)+1)</f>
        <v>0</v>
      </c>
      <c r="O126" s="16"/>
      <c r="P126" s="11"/>
      <c r="Q126" s="15"/>
    </row>
    <row r="127" spans="1:17" ht="12.3">
      <c r="A127" s="9"/>
      <c r="B127" s="10"/>
      <c r="C127" s="10"/>
      <c r="D127" s="10"/>
      <c r="E127" s="10"/>
      <c r="F127" s="10"/>
      <c r="G127" s="10"/>
      <c r="H127" s="10"/>
      <c r="I127" s="10"/>
      <c r="J127" s="10"/>
      <c r="K127" s="12"/>
      <c r="L127" s="13"/>
      <c r="M127" s="13"/>
      <c r="N127" s="14">
        <f>LOG(K127+([1]Values!$D$8*L127)+([1]Values!$D$9*M127)+(O127*[1]Values!D$10)+(P127*[1]Values!$D$11)+1)</f>
        <v>0</v>
      </c>
      <c r="O127" s="16"/>
      <c r="P127" s="11"/>
      <c r="Q127" s="15"/>
    </row>
    <row r="128" spans="1:17" ht="12.3">
      <c r="A128" s="9"/>
      <c r="B128" s="10"/>
      <c r="C128" s="10"/>
      <c r="D128" s="10"/>
      <c r="E128" s="10"/>
      <c r="F128" s="10"/>
      <c r="G128" s="10"/>
      <c r="H128" s="10"/>
      <c r="I128" s="10"/>
      <c r="J128" s="10"/>
      <c r="K128" s="12"/>
      <c r="L128" s="13"/>
      <c r="M128" s="13"/>
      <c r="N128" s="14">
        <f>LOG(K128+([1]Values!$D$8*L128)+([1]Values!$D$9*M128)+(O128*[1]Values!D$10)+(P128*[1]Values!$D$11)+1)</f>
        <v>0</v>
      </c>
      <c r="O128" s="16"/>
      <c r="P128" s="11"/>
      <c r="Q128" s="15"/>
    </row>
    <row r="129" spans="1:17" ht="12.3">
      <c r="A129" s="9"/>
      <c r="B129" s="10"/>
      <c r="C129" s="10"/>
      <c r="D129" s="10"/>
      <c r="E129" s="10"/>
      <c r="F129" s="10"/>
      <c r="G129" s="10"/>
      <c r="H129" s="10"/>
      <c r="I129" s="10"/>
      <c r="J129" s="10"/>
      <c r="K129" s="12"/>
      <c r="L129" s="13"/>
      <c r="M129" s="13"/>
      <c r="N129" s="14">
        <f>LOG(K129+([1]Values!$D$8*L129)+([1]Values!$D$9*M129)+(O129*[1]Values!D$10)+(P129*[1]Values!$D$11)+1)</f>
        <v>0</v>
      </c>
      <c r="O129" s="16"/>
      <c r="P129" s="11"/>
      <c r="Q129" s="15"/>
    </row>
    <row r="130" spans="1:17" ht="12.3">
      <c r="A130" s="9"/>
      <c r="B130" s="10"/>
      <c r="C130" s="10"/>
      <c r="D130" s="10"/>
      <c r="E130" s="10"/>
      <c r="F130" s="10"/>
      <c r="G130" s="10"/>
      <c r="H130" s="10"/>
      <c r="I130" s="10"/>
      <c r="J130" s="10"/>
      <c r="K130" s="12"/>
      <c r="L130" s="13"/>
      <c r="M130" s="13"/>
      <c r="N130" s="14">
        <f>LOG(K130+([1]Values!$D$8*L130)+([1]Values!$D$9*M130)+(O130*[1]Values!D$10)+(P130*[1]Values!$D$11)+1)</f>
        <v>0</v>
      </c>
      <c r="O130" s="16"/>
      <c r="P130" s="11"/>
      <c r="Q130" s="15"/>
    </row>
    <row r="131" spans="1:17" ht="12.3">
      <c r="A131" s="9"/>
      <c r="B131" s="10"/>
      <c r="C131" s="10"/>
      <c r="D131" s="10"/>
      <c r="E131" s="10"/>
      <c r="F131" s="10"/>
      <c r="G131" s="10"/>
      <c r="H131" s="10"/>
      <c r="I131" s="10"/>
      <c r="J131" s="10"/>
      <c r="K131" s="12"/>
      <c r="L131" s="13"/>
      <c r="M131" s="13"/>
      <c r="N131" s="14">
        <f>LOG(K131+([1]Values!$D$8*L131)+([1]Values!$D$9*M131)+(O131*[1]Values!D$10)+(P131*[1]Values!$D$11)+1)</f>
        <v>0</v>
      </c>
      <c r="O131" s="16"/>
      <c r="P131" s="11"/>
      <c r="Q131" s="15"/>
    </row>
    <row r="132" spans="1:17" ht="12.3">
      <c r="A132" s="9"/>
      <c r="B132" s="10"/>
      <c r="C132" s="10"/>
      <c r="D132" s="10"/>
      <c r="E132" s="10"/>
      <c r="F132" s="10"/>
      <c r="G132" s="10"/>
      <c r="H132" s="10"/>
      <c r="I132" s="10"/>
      <c r="J132" s="10"/>
      <c r="K132" s="12"/>
      <c r="L132" s="13"/>
      <c r="M132" s="13"/>
      <c r="N132" s="14">
        <f>LOG(K132+([1]Values!$D$8*L132)+([1]Values!$D$9*M132)+(O132*[1]Values!D$10)+(P132*[1]Values!$D$11)+1)</f>
        <v>0</v>
      </c>
      <c r="O132" s="16"/>
      <c r="P132" s="11"/>
      <c r="Q132" s="15"/>
    </row>
    <row r="133" spans="1:17" ht="12.3">
      <c r="A133" s="9"/>
      <c r="B133" s="10"/>
      <c r="C133" s="10"/>
      <c r="D133" s="10"/>
      <c r="E133" s="10"/>
      <c r="F133" s="10"/>
      <c r="G133" s="10"/>
      <c r="H133" s="10"/>
      <c r="I133" s="10"/>
      <c r="J133" s="10"/>
      <c r="K133" s="12"/>
      <c r="L133" s="13"/>
      <c r="M133" s="13"/>
      <c r="N133" s="14">
        <f>LOG(K133+([1]Values!$D$8*L133)+([1]Values!$D$9*M133)+(O133*[1]Values!D$10)+(P133*[1]Values!$D$11)+1)</f>
        <v>0</v>
      </c>
      <c r="O133" s="16"/>
      <c r="P133" s="11"/>
      <c r="Q133" s="15"/>
    </row>
    <row r="134" spans="1:17" ht="12.3">
      <c r="A134" s="9"/>
      <c r="B134" s="10"/>
      <c r="C134" s="10"/>
      <c r="D134" s="10"/>
      <c r="E134" s="10"/>
      <c r="F134" s="10"/>
      <c r="G134" s="10"/>
      <c r="H134" s="10"/>
      <c r="I134" s="10"/>
      <c r="J134" s="10"/>
      <c r="K134" s="12"/>
      <c r="L134" s="13"/>
      <c r="M134" s="13"/>
      <c r="N134" s="14">
        <f>LOG(K134+([1]Values!$D$8*L134)+([1]Values!$D$9*M134)+(O134*[1]Values!D$10)+(P134*[1]Values!$D$11)+1)</f>
        <v>0</v>
      </c>
      <c r="O134" s="16"/>
      <c r="P134" s="11"/>
      <c r="Q134" s="15"/>
    </row>
    <row r="135" spans="1:17" ht="12.3">
      <c r="A135" s="9"/>
      <c r="B135" s="10"/>
      <c r="C135" s="10"/>
      <c r="D135" s="10"/>
      <c r="E135" s="10"/>
      <c r="F135" s="10"/>
      <c r="G135" s="10"/>
      <c r="H135" s="10"/>
      <c r="I135" s="10"/>
      <c r="J135" s="10"/>
      <c r="K135" s="12"/>
      <c r="L135" s="13"/>
      <c r="M135" s="13"/>
      <c r="N135" s="14">
        <f>LOG(K135+([1]Values!$D$8*L135)+([1]Values!$D$9*M135)+(O135*[1]Values!D$10)+(P135*[1]Values!$D$11)+1)</f>
        <v>0</v>
      </c>
      <c r="O135" s="16"/>
      <c r="P135" s="11"/>
      <c r="Q135" s="15"/>
    </row>
    <row r="136" spans="1:17" ht="12.3">
      <c r="A136" s="9"/>
      <c r="B136" s="10"/>
      <c r="C136" s="10"/>
      <c r="D136" s="10"/>
      <c r="E136" s="10"/>
      <c r="F136" s="10"/>
      <c r="G136" s="10"/>
      <c r="H136" s="10"/>
      <c r="I136" s="10"/>
      <c r="J136" s="10"/>
      <c r="K136" s="12"/>
      <c r="L136" s="13"/>
      <c r="M136" s="13"/>
      <c r="N136" s="14">
        <f>LOG(K136+([1]Values!$D$8*L136)+([1]Values!$D$9*M136)+(O136*[1]Values!D$10)+(P136*[1]Values!$D$11)+1)</f>
        <v>0</v>
      </c>
      <c r="O136" s="16"/>
      <c r="P136" s="11"/>
      <c r="Q136" s="15"/>
    </row>
    <row r="137" spans="1:17" ht="12.3">
      <c r="A137" s="9"/>
      <c r="B137" s="10"/>
      <c r="C137" s="10"/>
      <c r="D137" s="10"/>
      <c r="E137" s="10"/>
      <c r="F137" s="10"/>
      <c r="G137" s="10"/>
      <c r="H137" s="10"/>
      <c r="I137" s="10"/>
      <c r="J137" s="10"/>
      <c r="K137" s="12"/>
      <c r="L137" s="13"/>
      <c r="M137" s="13"/>
      <c r="N137" s="14">
        <f>LOG(K137+([1]Values!$D$8*L137)+([1]Values!$D$9*M137)+(O137*[1]Values!D$10)+(P137*[1]Values!$D$11)+1)</f>
        <v>0</v>
      </c>
      <c r="O137" s="16"/>
      <c r="P137" s="11"/>
      <c r="Q137" s="15"/>
    </row>
    <row r="138" spans="1:17" ht="12.3">
      <c r="A138" s="9"/>
      <c r="B138" s="10"/>
      <c r="C138" s="10"/>
      <c r="D138" s="10"/>
      <c r="E138" s="10"/>
      <c r="F138" s="10"/>
      <c r="G138" s="10"/>
      <c r="H138" s="10"/>
      <c r="I138" s="10"/>
      <c r="J138" s="10"/>
      <c r="K138" s="12"/>
      <c r="L138" s="13"/>
      <c r="M138" s="13"/>
      <c r="N138" s="14">
        <f>LOG(K138+([1]Values!$D$8*L138)+([1]Values!$D$9*M138)+(O138*[1]Values!D$10)+(P138*[1]Values!$D$11)+1)</f>
        <v>0</v>
      </c>
      <c r="O138" s="16"/>
      <c r="P138" s="11"/>
      <c r="Q138" s="15"/>
    </row>
    <row r="139" spans="1:17" ht="12.3">
      <c r="A139" s="9"/>
      <c r="B139" s="10"/>
      <c r="C139" s="10"/>
      <c r="D139" s="10"/>
      <c r="E139" s="10"/>
      <c r="F139" s="10"/>
      <c r="G139" s="10"/>
      <c r="H139" s="10"/>
      <c r="I139" s="10"/>
      <c r="J139" s="10"/>
      <c r="K139" s="12"/>
      <c r="L139" s="13"/>
      <c r="M139" s="13"/>
      <c r="N139" s="14">
        <f>LOG(K139+([1]Values!$D$8*L139)+([1]Values!$D$9*M139)+(O139*[1]Values!D$10)+(P139*[1]Values!$D$11)+1)</f>
        <v>0</v>
      </c>
      <c r="O139" s="16"/>
      <c r="P139" s="11"/>
      <c r="Q139" s="15"/>
    </row>
    <row r="140" spans="1:17" ht="12.3">
      <c r="A140" s="9"/>
      <c r="B140" s="10"/>
      <c r="C140" s="10"/>
      <c r="D140" s="10"/>
      <c r="E140" s="10"/>
      <c r="F140" s="10"/>
      <c r="G140" s="10"/>
      <c r="H140" s="10"/>
      <c r="I140" s="10"/>
      <c r="J140" s="10"/>
      <c r="K140" s="12"/>
      <c r="L140" s="13"/>
      <c r="M140" s="13"/>
      <c r="N140" s="14">
        <f>LOG(K140+([1]Values!$D$8*L140)+([1]Values!$D$9*M140)+(O140*[1]Values!D$10)+(P140*[1]Values!$D$11)+1)</f>
        <v>0</v>
      </c>
      <c r="O140" s="16"/>
      <c r="P140" s="11"/>
      <c r="Q140" s="15"/>
    </row>
    <row r="141" spans="1:17" ht="12.3">
      <c r="A141" s="9"/>
      <c r="B141" s="10"/>
      <c r="C141" s="10"/>
      <c r="D141" s="10"/>
      <c r="E141" s="10"/>
      <c r="F141" s="10"/>
      <c r="G141" s="10"/>
      <c r="H141" s="10"/>
      <c r="I141" s="10"/>
      <c r="J141" s="10"/>
      <c r="K141" s="12"/>
      <c r="L141" s="13"/>
      <c r="M141" s="13"/>
      <c r="N141" s="14">
        <f>LOG(K141+([1]Values!$D$8*L141)+([1]Values!$D$9*M141)+(O141*[1]Values!D$10)+(P141*[1]Values!$D$11)+1)</f>
        <v>0</v>
      </c>
      <c r="O141" s="16"/>
      <c r="P141" s="11"/>
      <c r="Q141" s="15"/>
    </row>
    <row r="142" spans="1:17" ht="12.3">
      <c r="A142" s="9"/>
      <c r="B142" s="10"/>
      <c r="C142" s="10"/>
      <c r="D142" s="10"/>
      <c r="E142" s="10"/>
      <c r="F142" s="10"/>
      <c r="G142" s="10"/>
      <c r="H142" s="10"/>
      <c r="I142" s="10"/>
      <c r="J142" s="10"/>
      <c r="K142" s="12"/>
      <c r="L142" s="13"/>
      <c r="M142" s="13"/>
      <c r="N142" s="14">
        <f>LOG(K142+([1]Values!$D$8*L142)+([1]Values!$D$9*M142)+(O142*[1]Values!D$10)+(P142*[1]Values!$D$11)+1)</f>
        <v>0</v>
      </c>
      <c r="O142" s="16"/>
      <c r="P142" s="11"/>
      <c r="Q142" s="15"/>
    </row>
    <row r="143" spans="1:17" ht="12.3">
      <c r="A143" s="9"/>
      <c r="B143" s="10"/>
      <c r="C143" s="10"/>
      <c r="D143" s="10"/>
      <c r="E143" s="10"/>
      <c r="F143" s="10"/>
      <c r="G143" s="10"/>
      <c r="H143" s="10"/>
      <c r="I143" s="10"/>
      <c r="J143" s="10"/>
      <c r="K143" s="12"/>
      <c r="L143" s="13"/>
      <c r="M143" s="13"/>
      <c r="N143" s="14">
        <f>LOG(K143+([1]Values!$D$8*L143)+([1]Values!$D$9*M143)+(O143*[1]Values!D$10)+(P143*[1]Values!$D$11)+1)</f>
        <v>0</v>
      </c>
      <c r="O143" s="16"/>
      <c r="P143" s="11"/>
      <c r="Q143" s="15"/>
    </row>
    <row r="144" spans="1:17" ht="12.3">
      <c r="A144" s="9"/>
      <c r="B144" s="10"/>
      <c r="C144" s="10"/>
      <c r="D144" s="10"/>
      <c r="E144" s="10"/>
      <c r="F144" s="10"/>
      <c r="G144" s="10"/>
      <c r="H144" s="10"/>
      <c r="I144" s="10"/>
      <c r="J144" s="10"/>
      <c r="K144" s="12"/>
      <c r="L144" s="13"/>
      <c r="M144" s="13"/>
      <c r="N144" s="14">
        <f>LOG(K144+([1]Values!$D$8*L144)+([1]Values!$D$9*M144)+(O144*[1]Values!D$10)+(P144*[1]Values!$D$11)+1)</f>
        <v>0</v>
      </c>
      <c r="O144" s="16"/>
      <c r="P144" s="11"/>
      <c r="Q144" s="15"/>
    </row>
    <row r="145" spans="1:17" ht="12.3">
      <c r="A145" s="9"/>
      <c r="B145" s="10"/>
      <c r="C145" s="10"/>
      <c r="D145" s="10"/>
      <c r="E145" s="10"/>
      <c r="F145" s="10"/>
      <c r="G145" s="10"/>
      <c r="H145" s="10"/>
      <c r="I145" s="10"/>
      <c r="J145" s="10"/>
      <c r="K145" s="12"/>
      <c r="L145" s="13"/>
      <c r="M145" s="13"/>
      <c r="N145" s="14">
        <f>LOG(K145+([1]Values!$D$8*L145)+([1]Values!$D$9*M145)+(O145*[1]Values!D$10)+(P145*[1]Values!$D$11)+1)</f>
        <v>0</v>
      </c>
      <c r="O145" s="16"/>
      <c r="P145" s="11"/>
      <c r="Q145" s="15"/>
    </row>
    <row r="146" spans="1:17" ht="12.3">
      <c r="A146" s="9"/>
      <c r="B146" s="10"/>
      <c r="C146" s="10"/>
      <c r="D146" s="10"/>
      <c r="E146" s="10"/>
      <c r="F146" s="10"/>
      <c r="G146" s="10"/>
      <c r="H146" s="10"/>
      <c r="I146" s="10"/>
      <c r="J146" s="10"/>
      <c r="K146" s="12"/>
      <c r="L146" s="13"/>
      <c r="M146" s="13"/>
      <c r="N146" s="14">
        <f>LOG(K146+([1]Values!$D$8*L146)+([1]Values!$D$9*M146)+(O146*[1]Values!D$10)+(P146*[1]Values!$D$11)+1)</f>
        <v>0</v>
      </c>
      <c r="O146" s="16"/>
      <c r="P146" s="11"/>
      <c r="Q146" s="15"/>
    </row>
    <row r="147" spans="1:17" ht="12.3">
      <c r="A147" s="9"/>
      <c r="B147" s="10"/>
      <c r="C147" s="10"/>
      <c r="D147" s="10"/>
      <c r="E147" s="10"/>
      <c r="F147" s="10"/>
      <c r="G147" s="10"/>
      <c r="H147" s="10"/>
      <c r="I147" s="10"/>
      <c r="J147" s="10"/>
      <c r="K147" s="12"/>
      <c r="L147" s="13"/>
      <c r="M147" s="13"/>
      <c r="N147" s="14">
        <f>LOG(K147+([1]Values!$D$8*L147)+([1]Values!$D$9*M147)+(O147*[1]Values!D$10)+(P147*[1]Values!$D$11)+1)</f>
        <v>0</v>
      </c>
      <c r="O147" s="16"/>
      <c r="P147" s="11"/>
      <c r="Q147" s="15"/>
    </row>
    <row r="148" spans="1:17" ht="12.3">
      <c r="A148" s="9"/>
      <c r="B148" s="10"/>
      <c r="C148" s="10"/>
      <c r="D148" s="10"/>
      <c r="E148" s="10"/>
      <c r="F148" s="10"/>
      <c r="G148" s="10"/>
      <c r="H148" s="10"/>
      <c r="I148" s="10"/>
      <c r="J148" s="10"/>
      <c r="K148" s="12"/>
      <c r="L148" s="13"/>
      <c r="M148" s="13"/>
      <c r="N148" s="14">
        <f>LOG(K148+([1]Values!$D$8*L148)+([1]Values!$D$9*M148)+(O148*[1]Values!D$10)+(P148*[1]Values!$D$11)+1)</f>
        <v>0</v>
      </c>
      <c r="O148" s="16"/>
      <c r="P148" s="11"/>
      <c r="Q148" s="15"/>
    </row>
    <row r="149" spans="1:17" ht="12.3">
      <c r="A149" s="9"/>
      <c r="B149" s="10"/>
      <c r="C149" s="10"/>
      <c r="D149" s="10"/>
      <c r="E149" s="10"/>
      <c r="F149" s="10"/>
      <c r="G149" s="10"/>
      <c r="H149" s="10"/>
      <c r="I149" s="10"/>
      <c r="J149" s="10"/>
      <c r="K149" s="12"/>
      <c r="L149" s="13"/>
      <c r="M149" s="13"/>
      <c r="N149" s="14">
        <f>LOG(K149+([1]Values!$D$8*L149)+([1]Values!$D$9*M149)+(O149*[1]Values!D$10)+(P149*[1]Values!$D$11)+1)</f>
        <v>0</v>
      </c>
      <c r="O149" s="16"/>
      <c r="P149" s="11"/>
      <c r="Q149" s="15"/>
    </row>
    <row r="150" spans="1:17" ht="12.3">
      <c r="A150" s="9"/>
      <c r="B150" s="10"/>
      <c r="C150" s="10"/>
      <c r="D150" s="10"/>
      <c r="E150" s="10"/>
      <c r="F150" s="10"/>
      <c r="G150" s="10"/>
      <c r="H150" s="10"/>
      <c r="I150" s="10"/>
      <c r="J150" s="10"/>
      <c r="K150" s="12"/>
      <c r="L150" s="13"/>
      <c r="M150" s="13"/>
      <c r="N150" s="14">
        <f>LOG(K150+([1]Values!$D$8*L150)+([1]Values!$D$9*M150)+(O150*[1]Values!D$10)+(P150*[1]Values!$D$11)+1)</f>
        <v>0</v>
      </c>
      <c r="O150" s="16"/>
      <c r="P150" s="11"/>
      <c r="Q150" s="15"/>
    </row>
    <row r="151" spans="1:17" ht="12.3">
      <c r="A151" s="9"/>
      <c r="B151" s="10"/>
      <c r="C151" s="10"/>
      <c r="D151" s="10"/>
      <c r="E151" s="10"/>
      <c r="F151" s="10"/>
      <c r="G151" s="10"/>
      <c r="H151" s="10"/>
      <c r="I151" s="10"/>
      <c r="J151" s="10"/>
      <c r="K151" s="12"/>
      <c r="L151" s="13"/>
      <c r="M151" s="13"/>
      <c r="N151" s="14">
        <f>LOG(K151+([1]Values!$D$8*L151)+([1]Values!$D$9*M151)+(O151*[1]Values!D$10)+(P151*[1]Values!$D$11)+1)</f>
        <v>0</v>
      </c>
      <c r="O151" s="16"/>
      <c r="P151" s="11"/>
      <c r="Q151" s="15"/>
    </row>
    <row r="152" spans="1:17" ht="12.3">
      <c r="A152" s="9"/>
      <c r="B152" s="10"/>
      <c r="C152" s="10"/>
      <c r="D152" s="10"/>
      <c r="E152" s="10"/>
      <c r="F152" s="10"/>
      <c r="G152" s="10"/>
      <c r="H152" s="10"/>
      <c r="I152" s="10"/>
      <c r="J152" s="10"/>
      <c r="K152" s="12"/>
      <c r="L152" s="13"/>
      <c r="M152" s="13"/>
      <c r="N152" s="14">
        <f>LOG(K152+([1]Values!$D$8*L152)+([1]Values!$D$9*M152)+(O152*[1]Values!D$10)+(P152*[1]Values!$D$11)+1)</f>
        <v>0</v>
      </c>
      <c r="O152" s="16"/>
      <c r="P152" s="11"/>
      <c r="Q152" s="15"/>
    </row>
    <row r="153" spans="1:17" ht="12.3">
      <c r="A153" s="9"/>
      <c r="B153" s="10"/>
      <c r="C153" s="10"/>
      <c r="D153" s="10"/>
      <c r="E153" s="10"/>
      <c r="F153" s="10"/>
      <c r="G153" s="10"/>
      <c r="H153" s="10"/>
      <c r="I153" s="10"/>
      <c r="J153" s="10"/>
      <c r="K153" s="12"/>
      <c r="L153" s="13"/>
      <c r="M153" s="13"/>
      <c r="N153" s="14">
        <f>LOG(K153+([1]Values!$D$8*L153)+([1]Values!$D$9*M153)+(O153*[1]Values!D$10)+(P153*[1]Values!$D$11)+1)</f>
        <v>0</v>
      </c>
      <c r="O153" s="16"/>
      <c r="P153" s="11"/>
      <c r="Q153" s="15"/>
    </row>
    <row r="154" spans="1:17" ht="12.3">
      <c r="A154" s="9"/>
      <c r="B154" s="10"/>
      <c r="C154" s="10"/>
      <c r="D154" s="10"/>
      <c r="E154" s="10"/>
      <c r="F154" s="10"/>
      <c r="G154" s="10"/>
      <c r="H154" s="10"/>
      <c r="I154" s="10"/>
      <c r="J154" s="10"/>
      <c r="K154" s="12"/>
      <c r="L154" s="13"/>
      <c r="M154" s="13"/>
      <c r="N154" s="14">
        <f>LOG(K154+([1]Values!$D$8*L154)+([1]Values!$D$9*M154)+(O154*[1]Values!D$10)+(P154*[1]Values!$D$11)+1)</f>
        <v>0</v>
      </c>
      <c r="O154" s="16"/>
      <c r="P154" s="11"/>
      <c r="Q154" s="15"/>
    </row>
    <row r="155" spans="1:17" ht="12.3">
      <c r="A155" s="9"/>
      <c r="B155" s="10"/>
      <c r="C155" s="10"/>
      <c r="D155" s="10"/>
      <c r="E155" s="10"/>
      <c r="F155" s="10"/>
      <c r="G155" s="10"/>
      <c r="H155" s="10"/>
      <c r="I155" s="10"/>
      <c r="J155" s="10"/>
      <c r="K155" s="12"/>
      <c r="L155" s="13"/>
      <c r="M155" s="13"/>
      <c r="N155" s="14">
        <f>LOG(K155+([1]Values!$D$8*L155)+([1]Values!$D$9*M155)+(O155*[1]Values!D$10)+(P155*[1]Values!$D$11)+1)</f>
        <v>0</v>
      </c>
      <c r="O155" s="16"/>
      <c r="P155" s="11"/>
      <c r="Q155" s="15"/>
    </row>
    <row r="156" spans="1:17" ht="12.3">
      <c r="A156" s="9"/>
      <c r="B156" s="10"/>
      <c r="C156" s="10"/>
      <c r="D156" s="10"/>
      <c r="E156" s="10"/>
      <c r="F156" s="10"/>
      <c r="G156" s="10"/>
      <c r="H156" s="10"/>
      <c r="I156" s="10"/>
      <c r="J156" s="10"/>
      <c r="K156" s="12"/>
      <c r="L156" s="13"/>
      <c r="M156" s="13"/>
      <c r="N156" s="14">
        <f>LOG(K156+([1]Values!$D$8*L156)+([1]Values!$D$9*M156)+(O156*[1]Values!D$10)+(P156*[1]Values!$D$11)+1)</f>
        <v>0</v>
      </c>
      <c r="O156" s="16"/>
      <c r="P156" s="11"/>
      <c r="Q156" s="15"/>
    </row>
    <row r="157" spans="1:17" ht="12.3">
      <c r="A157" s="9"/>
      <c r="B157" s="10"/>
      <c r="C157" s="10"/>
      <c r="D157" s="10"/>
      <c r="E157" s="10"/>
      <c r="F157" s="10"/>
      <c r="G157" s="10"/>
      <c r="H157" s="10"/>
      <c r="I157" s="10"/>
      <c r="J157" s="10"/>
      <c r="K157" s="12"/>
      <c r="L157" s="13"/>
      <c r="M157" s="13"/>
      <c r="N157" s="14">
        <f>LOG(K157+([1]Values!$D$8*L157)+([1]Values!$D$9*M157)+(O157*[1]Values!D$10)+(P157*[1]Values!$D$11)+1)</f>
        <v>0</v>
      </c>
      <c r="O157" s="16"/>
      <c r="P157" s="11"/>
      <c r="Q157" s="15"/>
    </row>
    <row r="158" spans="1:17" ht="12.3">
      <c r="A158" s="9"/>
      <c r="B158" s="10"/>
      <c r="C158" s="10"/>
      <c r="D158" s="10"/>
      <c r="E158" s="10"/>
      <c r="F158" s="10"/>
      <c r="G158" s="10"/>
      <c r="H158" s="10"/>
      <c r="I158" s="10"/>
      <c r="J158" s="10"/>
      <c r="K158" s="12"/>
      <c r="L158" s="13"/>
      <c r="M158" s="13"/>
      <c r="N158" s="14">
        <f>LOG(K158+([1]Values!$D$8*L158)+([1]Values!$D$9*M158)+(O158*[1]Values!D$10)+(P158*[1]Values!$D$11)+1)</f>
        <v>0</v>
      </c>
      <c r="O158" s="16"/>
      <c r="P158" s="11"/>
      <c r="Q158" s="15"/>
    </row>
    <row r="159" spans="1:17" ht="12.3">
      <c r="A159" s="9"/>
      <c r="B159" s="10"/>
      <c r="C159" s="10"/>
      <c r="D159" s="10"/>
      <c r="E159" s="10"/>
      <c r="F159" s="10"/>
      <c r="G159" s="10"/>
      <c r="H159" s="10"/>
      <c r="I159" s="10"/>
      <c r="J159" s="10"/>
      <c r="K159" s="12"/>
      <c r="L159" s="13"/>
      <c r="M159" s="13"/>
      <c r="N159" s="14">
        <f>LOG(K159+([1]Values!$D$8*L159)+([1]Values!$D$9*M159)+(O159*[1]Values!D$10)+(P159*[1]Values!$D$11)+1)</f>
        <v>0</v>
      </c>
      <c r="O159" s="16"/>
      <c r="P159" s="11"/>
      <c r="Q159" s="15"/>
    </row>
    <row r="160" spans="1:17" ht="12.3">
      <c r="A160" s="9"/>
      <c r="B160" s="10"/>
      <c r="C160" s="10"/>
      <c r="D160" s="10"/>
      <c r="E160" s="10"/>
      <c r="F160" s="10"/>
      <c r="G160" s="10"/>
      <c r="H160" s="10"/>
      <c r="I160" s="10"/>
      <c r="J160" s="10"/>
      <c r="K160" s="12"/>
      <c r="L160" s="13"/>
      <c r="M160" s="13"/>
      <c r="N160" s="14">
        <f>LOG(K160+([1]Values!$D$8*L160)+([1]Values!$D$9*M160)+(O160*[1]Values!D$10)+(P160*[1]Values!$D$11)+1)</f>
        <v>0</v>
      </c>
      <c r="O160" s="16"/>
      <c r="P160" s="11"/>
      <c r="Q160" s="15"/>
    </row>
    <row r="161" spans="1:17" ht="12.3">
      <c r="A161" s="9"/>
      <c r="B161" s="10"/>
      <c r="C161" s="10"/>
      <c r="D161" s="10"/>
      <c r="E161" s="10"/>
      <c r="F161" s="10"/>
      <c r="G161" s="10"/>
      <c r="H161" s="10"/>
      <c r="I161" s="10"/>
      <c r="J161" s="10"/>
      <c r="K161" s="12"/>
      <c r="L161" s="13"/>
      <c r="M161" s="13"/>
      <c r="N161" s="14">
        <f>LOG(K161+([1]Values!$D$8*L161)+([1]Values!$D$9*M161)+(O161*[1]Values!D$10)+(P161*[1]Values!$D$11)+1)</f>
        <v>0</v>
      </c>
      <c r="O161" s="16"/>
      <c r="P161" s="11"/>
      <c r="Q161" s="15"/>
    </row>
    <row r="162" spans="1:17" ht="12.3">
      <c r="A162" s="9"/>
      <c r="B162" s="10"/>
      <c r="C162" s="10"/>
      <c r="D162" s="10"/>
      <c r="E162" s="10"/>
      <c r="F162" s="10"/>
      <c r="G162" s="10"/>
      <c r="H162" s="10"/>
      <c r="I162" s="10"/>
      <c r="J162" s="10"/>
      <c r="K162" s="12"/>
      <c r="L162" s="13"/>
      <c r="M162" s="13"/>
      <c r="N162" s="14">
        <f>LOG(K162+([1]Values!$D$8*L162)+([1]Values!$D$9*M162)+(O162*[1]Values!D$10)+(P162*[1]Values!$D$11)+1)</f>
        <v>0</v>
      </c>
      <c r="O162" s="16"/>
      <c r="P162" s="11"/>
      <c r="Q162" s="15"/>
    </row>
    <row r="163" spans="1:17" ht="12.3">
      <c r="A163" s="9"/>
      <c r="B163" s="10"/>
      <c r="C163" s="10"/>
      <c r="D163" s="10"/>
      <c r="E163" s="10"/>
      <c r="F163" s="10"/>
      <c r="G163" s="10"/>
      <c r="H163" s="10"/>
      <c r="I163" s="10"/>
      <c r="J163" s="10"/>
      <c r="K163" s="12"/>
      <c r="L163" s="13"/>
      <c r="M163" s="13"/>
      <c r="N163" s="14">
        <f>LOG(K163+([1]Values!$D$8*L163)+([1]Values!$D$9*M163)+(O163*[1]Values!D$10)+(P163*[1]Values!$D$11)+1)</f>
        <v>0</v>
      </c>
      <c r="O163" s="16"/>
      <c r="P163" s="11"/>
      <c r="Q163" s="15"/>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Legend</vt:lpstr>
      <vt:lpstr>2013</vt:lpstr>
      <vt:lpstr>2014</vt:lpstr>
      <vt:lpstr>2015</vt:lpstr>
      <vt:lpstr>2016</vt:lpstr>
      <vt:lpstr>2017</vt:lpstr>
      <vt:lpstr>2018</vt:lpstr>
      <vt:lpstr>2019</vt:lpstr>
      <vt:lpstr>2020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Kathryn Jones</dc:creator>
  <cp:lastModifiedBy>Kathryn Jones</cp:lastModifiedBy>
  <dcterms:created xsi:type="dcterms:W3CDTF">2020-03-19T17:39:04Z</dcterms:created>
  <dcterms:modified xsi:type="dcterms:W3CDTF">2020-03-19T18:01:50Z</dcterms:modified>
</cp:coreProperties>
</file>