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" sheetId="1" r:id="rId4"/>
    <sheet state="visible" name="Formula Sheet 1" sheetId="2" r:id="rId5"/>
  </sheets>
  <definedNames/>
  <calcPr/>
</workbook>
</file>

<file path=xl/sharedStrings.xml><?xml version="1.0" encoding="utf-8"?>
<sst xmlns="http://schemas.openxmlformats.org/spreadsheetml/2006/main" count="8702" uniqueCount="1862">
  <si>
    <t>Company Name</t>
  </si>
  <si>
    <t>Job Title</t>
  </si>
  <si>
    <t>Salaries Reported</t>
  </si>
  <si>
    <t>Location</t>
  </si>
  <si>
    <t>Salary</t>
  </si>
  <si>
    <t>Mu Sigma</t>
  </si>
  <si>
    <t>Data Scientist</t>
  </si>
  <si>
    <t>Bangalore</t>
  </si>
  <si>
    <t>IBM</t>
  </si>
  <si>
    <t>Tata Consultancy Services</t>
  </si>
  <si>
    <t>Impact Analytics</t>
  </si>
  <si>
    <t>Accenture</t>
  </si>
  <si>
    <t>Infosys</t>
  </si>
  <si>
    <t>mean =</t>
  </si>
  <si>
    <t>Capgemini</t>
  </si>
  <si>
    <t xml:space="preserve">Variance = </t>
  </si>
  <si>
    <t>Cognizant Technology Solutions</t>
  </si>
  <si>
    <t xml:space="preserve">S.Dev = </t>
  </si>
  <si>
    <t>Anheuser-Busch InBev</t>
  </si>
  <si>
    <t>Lambda=</t>
  </si>
  <si>
    <t>Fractal</t>
  </si>
  <si>
    <t>Embibe</t>
  </si>
  <si>
    <t xml:space="preserve">F(100000) = </t>
  </si>
  <si>
    <t>Flipkart</t>
  </si>
  <si>
    <t xml:space="preserve">F(500000) = </t>
  </si>
  <si>
    <t>HP Inc.</t>
  </si>
  <si>
    <t xml:space="preserve">F(1000000) = </t>
  </si>
  <si>
    <t>Wipro</t>
  </si>
  <si>
    <t xml:space="preserve">F(2000000) = </t>
  </si>
  <si>
    <t>Deloitte</t>
  </si>
  <si>
    <t xml:space="preserve">F(3000000) = </t>
  </si>
  <si>
    <t>Microsoft</t>
  </si>
  <si>
    <t xml:space="preserve">F(4000000) = </t>
  </si>
  <si>
    <t>Fresher</t>
  </si>
  <si>
    <t xml:space="preserve">F(5000000) = </t>
  </si>
  <si>
    <t>Société Générale</t>
  </si>
  <si>
    <t>Flutura</t>
  </si>
  <si>
    <t>Fuzzy Logix</t>
  </si>
  <si>
    <t>DXC Technology</t>
  </si>
  <si>
    <t>Jio</t>
  </si>
  <si>
    <t>Honeywell</t>
  </si>
  <si>
    <t>Philips</t>
  </si>
  <si>
    <t>Antuit</t>
  </si>
  <si>
    <t>Nielsen</t>
  </si>
  <si>
    <t>[24]7.ai</t>
  </si>
  <si>
    <t>Fidelity Investments</t>
  </si>
  <si>
    <t>Myntra</t>
  </si>
  <si>
    <t>Oracle</t>
  </si>
  <si>
    <t>Ola</t>
  </si>
  <si>
    <t>Walmart Global Tech</t>
  </si>
  <si>
    <t>Tredence</t>
  </si>
  <si>
    <t>Intel Corporation</t>
  </si>
  <si>
    <t>Mercedes-Benz Research and Development India</t>
  </si>
  <si>
    <t>SAP</t>
  </si>
  <si>
    <t>Wipro Technologies</t>
  </si>
  <si>
    <t>Thoucentric</t>
  </si>
  <si>
    <t>Walmart</t>
  </si>
  <si>
    <t>Brillio</t>
  </si>
  <si>
    <t>Gramener</t>
  </si>
  <si>
    <t>HCL Technologies</t>
  </si>
  <si>
    <t>Happiest Minds Technologies</t>
  </si>
  <si>
    <t>Hewlett Packard Enterprise | HPE</t>
  </si>
  <si>
    <t>Cisco Systems</t>
  </si>
  <si>
    <t>Adobe</t>
  </si>
  <si>
    <t>ABB</t>
  </si>
  <si>
    <t>EY</t>
  </si>
  <si>
    <t>Swiggy</t>
  </si>
  <si>
    <t>Subex</t>
  </si>
  <si>
    <t>iNeuron</t>
  </si>
  <si>
    <t>ZS Associates</t>
  </si>
  <si>
    <t>Robert Bosch India</t>
  </si>
  <si>
    <t>Scienaptic Systems</t>
  </si>
  <si>
    <t>FlyNava Technologies</t>
  </si>
  <si>
    <t>Nokia</t>
  </si>
  <si>
    <t>UnitedHealth Group</t>
  </si>
  <si>
    <t>Sigmoid Analytics</t>
  </si>
  <si>
    <t>Idexcel</t>
  </si>
  <si>
    <t>Citi</t>
  </si>
  <si>
    <t>GE Healthcare</t>
  </si>
  <si>
    <t>SigTuple</t>
  </si>
  <si>
    <t>Dell Technologies</t>
  </si>
  <si>
    <t>Aptus Data Labs</t>
  </si>
  <si>
    <t>UniQreate</t>
  </si>
  <si>
    <t>LinkedIn</t>
  </si>
  <si>
    <t>Shadowfax Technologies</t>
  </si>
  <si>
    <t>Bharti Airtel</t>
  </si>
  <si>
    <t>Applied Materials</t>
  </si>
  <si>
    <t>FICO</t>
  </si>
  <si>
    <t>YouPlus</t>
  </si>
  <si>
    <t>Target</t>
  </si>
  <si>
    <t>Gojek</t>
  </si>
  <si>
    <t>Blueocean Market Intelligence</t>
  </si>
  <si>
    <t>CRED</t>
  </si>
  <si>
    <t>Rolls-Royce</t>
  </si>
  <si>
    <t>Curl Analytics</t>
  </si>
  <si>
    <t>J.P. Morgan</t>
  </si>
  <si>
    <t>Knowledge Lens</t>
  </si>
  <si>
    <t>ascena</t>
  </si>
  <si>
    <t>QuantZig</t>
  </si>
  <si>
    <t>Baker Hughes</t>
  </si>
  <si>
    <t>Everlytics</t>
  </si>
  <si>
    <t>Siemens</t>
  </si>
  <si>
    <t>ANZ Bank</t>
  </si>
  <si>
    <t>Lowe's Home Improvement</t>
  </si>
  <si>
    <t>Nones</t>
  </si>
  <si>
    <t>Bristlecone</t>
  </si>
  <si>
    <t>Altimetrik</t>
  </si>
  <si>
    <t>Head Digital Works</t>
  </si>
  <si>
    <t>Artivatic Data Labs</t>
  </si>
  <si>
    <t>HDFC Standard Life Insurance</t>
  </si>
  <si>
    <t>AntWorks</t>
  </si>
  <si>
    <t>American Express</t>
  </si>
  <si>
    <t>ITC Infotech</t>
  </si>
  <si>
    <t>Aidetic</t>
  </si>
  <si>
    <t>NeenOpal</t>
  </si>
  <si>
    <t>Knowledge Foundry</t>
  </si>
  <si>
    <t>Mindtree</t>
  </si>
  <si>
    <t>XYZ</t>
  </si>
  <si>
    <t>ShieldSquare</t>
  </si>
  <si>
    <t>Publicis Sapient</t>
  </si>
  <si>
    <t>GE Digital</t>
  </si>
  <si>
    <t>GlobusSoft</t>
  </si>
  <si>
    <t>Dailyhunt</t>
  </si>
  <si>
    <t>Draup</t>
  </si>
  <si>
    <t>SwitchOn</t>
  </si>
  <si>
    <t>PwC</t>
  </si>
  <si>
    <t>Robert Bosch</t>
  </si>
  <si>
    <t>Two Roads Tech</t>
  </si>
  <si>
    <t>ExxonMobil</t>
  </si>
  <si>
    <t>IQVIA</t>
  </si>
  <si>
    <t>Course5 Intelligence</t>
  </si>
  <si>
    <t>MAERSK</t>
  </si>
  <si>
    <t>Caterpillar</t>
  </si>
  <si>
    <t>NetApp</t>
  </si>
  <si>
    <t>Exposys Data Labs</t>
  </si>
  <si>
    <t>Spoonshot</t>
  </si>
  <si>
    <t>Swiss Re</t>
  </si>
  <si>
    <t>Shell</t>
  </si>
  <si>
    <t>Flip Robo</t>
  </si>
  <si>
    <t>HCL</t>
  </si>
  <si>
    <t>HDFC Bank</t>
  </si>
  <si>
    <t>Halodoc</t>
  </si>
  <si>
    <t>PayPal</t>
  </si>
  <si>
    <t>GE</t>
  </si>
  <si>
    <t>Manthan</t>
  </si>
  <si>
    <t>Visa Inc.</t>
  </si>
  <si>
    <t>Data Semantics</t>
  </si>
  <si>
    <t>GE Aviation</t>
  </si>
  <si>
    <t>Neustar</t>
  </si>
  <si>
    <t>Axis Bank</t>
  </si>
  <si>
    <t>Mercedes-Benz International</t>
  </si>
  <si>
    <t>Zoom Video Communications</t>
  </si>
  <si>
    <t>Money View</t>
  </si>
  <si>
    <t>nference</t>
  </si>
  <si>
    <t>KrazyBee</t>
  </si>
  <si>
    <t>Mavenir</t>
  </si>
  <si>
    <t>Molecular Connections</t>
  </si>
  <si>
    <t>Yodlee</t>
  </si>
  <si>
    <t>Locus</t>
  </si>
  <si>
    <t>IVYTEL Technologies</t>
  </si>
  <si>
    <t>Sumyag</t>
  </si>
  <si>
    <t>Wabtec</t>
  </si>
  <si>
    <t>VMware</t>
  </si>
  <si>
    <t>Wipro Digital</t>
  </si>
  <si>
    <t>Zycus</t>
  </si>
  <si>
    <t>Tyson Foods</t>
  </si>
  <si>
    <t>OceanFrogs</t>
  </si>
  <si>
    <t>Lenovo</t>
  </si>
  <si>
    <t>Tata</t>
  </si>
  <si>
    <t>Simplilearn Solutions</t>
  </si>
  <si>
    <t>Dun &amp; Bradstreet</t>
  </si>
  <si>
    <t>AlmaBetter</t>
  </si>
  <si>
    <t>CreditNirvana</t>
  </si>
  <si>
    <t>DONE by NONE</t>
  </si>
  <si>
    <t>Accentue</t>
  </si>
  <si>
    <t>SymphonyAI</t>
  </si>
  <si>
    <t>First Student</t>
  </si>
  <si>
    <t>Datamatics Global Services</t>
  </si>
  <si>
    <t>Razorpay</t>
  </si>
  <si>
    <t>NTT Ltd.</t>
  </si>
  <si>
    <t>mfine</t>
  </si>
  <si>
    <t>Marlabs</t>
  </si>
  <si>
    <t>Optum Global Solutions</t>
  </si>
  <si>
    <t>Reckonsys</t>
  </si>
  <si>
    <t>Aruba Networks</t>
  </si>
  <si>
    <t>Intellicar</t>
  </si>
  <si>
    <t>ORMAE</t>
  </si>
  <si>
    <t>CROPIN TECHNOLOGY SOLUTIONS</t>
  </si>
  <si>
    <t>Belong</t>
  </si>
  <si>
    <t>Mobile Premier League</t>
  </si>
  <si>
    <t>Smiths Detection</t>
  </si>
  <si>
    <t>Shubh Loans</t>
  </si>
  <si>
    <t>TCS</t>
  </si>
  <si>
    <t>Aditya Birla Group</t>
  </si>
  <si>
    <t>Morgan Stanley</t>
  </si>
  <si>
    <t>DataVal Analytics</t>
  </si>
  <si>
    <t>Thomson Reuters</t>
  </si>
  <si>
    <t>Numerify</t>
  </si>
  <si>
    <t>Kabbage</t>
  </si>
  <si>
    <t>Loyalytics Consulting</t>
  </si>
  <si>
    <t>Monsanto Company</t>
  </si>
  <si>
    <t>FOKAL</t>
  </si>
  <si>
    <t>Sutherland</t>
  </si>
  <si>
    <t>Hypersonix (CA)</t>
  </si>
  <si>
    <t>Boeing</t>
  </si>
  <si>
    <t>Utopus Insights</t>
  </si>
  <si>
    <t>Apple</t>
  </si>
  <si>
    <t>GetupForChange Services</t>
  </si>
  <si>
    <t>MIQ Logistics</t>
  </si>
  <si>
    <t>Zendrive</t>
  </si>
  <si>
    <t>Paytm</t>
  </si>
  <si>
    <t>Unilever</t>
  </si>
  <si>
    <t>Conduent</t>
  </si>
  <si>
    <t>3K Technologies</t>
  </si>
  <si>
    <t>Netenrich Inc.</t>
  </si>
  <si>
    <t>Majorel</t>
  </si>
  <si>
    <t>Polynomial.Ai</t>
  </si>
  <si>
    <t>HARMAN</t>
  </si>
  <si>
    <t>Mbb Labs</t>
  </si>
  <si>
    <t>Analytics Vidhya</t>
  </si>
  <si>
    <t>KPMG</t>
  </si>
  <si>
    <t>Inference Labs</t>
  </si>
  <si>
    <t>Cartesian Consulting</t>
  </si>
  <si>
    <t>ZedEye Labs</t>
  </si>
  <si>
    <t>McAfee</t>
  </si>
  <si>
    <t>Zinnov Management Consulting</t>
  </si>
  <si>
    <t>Simpl</t>
  </si>
  <si>
    <t>Unisys</t>
  </si>
  <si>
    <t>Shaw Academy</t>
  </si>
  <si>
    <t>Rakuten</t>
  </si>
  <si>
    <t>Blue Yonder</t>
  </si>
  <si>
    <t>SalesKen</t>
  </si>
  <si>
    <t>Danske IT and Support Services</t>
  </si>
  <si>
    <t>Samsung Electronics</t>
  </si>
  <si>
    <t>Sonata Software</t>
  </si>
  <si>
    <t>Merck KGaA</t>
  </si>
  <si>
    <t>InViz AI Solutions</t>
  </si>
  <si>
    <t>Samsung R&amp;D Institute India - Bangalore</t>
  </si>
  <si>
    <t>Quess</t>
  </si>
  <si>
    <t>QuEST Global</t>
  </si>
  <si>
    <t>Ong &amp; Shan</t>
  </si>
  <si>
    <t>PayU</t>
  </si>
  <si>
    <t>Encora</t>
  </si>
  <si>
    <t>Walmart eCommerce</t>
  </si>
  <si>
    <t>Nivetti Systems</t>
  </si>
  <si>
    <t>Prescience</t>
  </si>
  <si>
    <t>Thoughtworks</t>
  </si>
  <si>
    <t>Prognos Health</t>
  </si>
  <si>
    <t>TECH I.S</t>
  </si>
  <si>
    <t>Zeta Suite</t>
  </si>
  <si>
    <t>Halliburton</t>
  </si>
  <si>
    <t>Apar Technologies</t>
  </si>
  <si>
    <t>DataMites</t>
  </si>
  <si>
    <t>Cerner</t>
  </si>
  <si>
    <t>Juniper Networks</t>
  </si>
  <si>
    <t>L&amp;T Technology Services</t>
  </si>
  <si>
    <t>Tiger Analytics</t>
  </si>
  <si>
    <t>Capital One</t>
  </si>
  <si>
    <t>Zeotap</t>
  </si>
  <si>
    <t>Bright Money</t>
  </si>
  <si>
    <t>Hakkasan Group</t>
  </si>
  <si>
    <t>Standard Chartered Global Business Services</t>
  </si>
  <si>
    <t>Ambee (India)</t>
  </si>
  <si>
    <t>Intuit</t>
  </si>
  <si>
    <t>Diageo</t>
  </si>
  <si>
    <t>Perpule</t>
  </si>
  <si>
    <t>Tavant</t>
  </si>
  <si>
    <t>Mahindra</t>
  </si>
  <si>
    <t>Biocon</t>
  </si>
  <si>
    <t>Snipe Tech Pvt Ltd.</t>
  </si>
  <si>
    <t>Hewlett-Packard</t>
  </si>
  <si>
    <t>Ithink Technologies</t>
  </si>
  <si>
    <t>Freshers.com</t>
  </si>
  <si>
    <t>Exalca Technologies</t>
  </si>
  <si>
    <t>Happay</t>
  </si>
  <si>
    <t>Panasonic</t>
  </si>
  <si>
    <t>NightLight Pediatric Urgent Care</t>
  </si>
  <si>
    <t>Trinity Mobility</t>
  </si>
  <si>
    <t>CronLabs Solutions</t>
  </si>
  <si>
    <t>CoRover</t>
  </si>
  <si>
    <t>Alfonso &amp; Associates Consulting</t>
  </si>
  <si>
    <t>EdgeVerve Systems</t>
  </si>
  <si>
    <t>Affle</t>
  </si>
  <si>
    <t>Qualcomm</t>
  </si>
  <si>
    <t>Monty Telecom Development</t>
  </si>
  <si>
    <t>Philips Lighting</t>
  </si>
  <si>
    <t>Vervenest</t>
  </si>
  <si>
    <t>Avail Finance</t>
  </si>
  <si>
    <t>YDI Solutions</t>
  </si>
  <si>
    <t>AIEnterprise</t>
  </si>
  <si>
    <t>GE Power</t>
  </si>
  <si>
    <t>GLOBALFOUNDRIES</t>
  </si>
  <si>
    <t>Applied Data Finance</t>
  </si>
  <si>
    <t>Trendwise Analytics</t>
  </si>
  <si>
    <t>HackerEarth</t>
  </si>
  <si>
    <t>Quadrant 4 Systems</t>
  </si>
  <si>
    <t>Arcadix</t>
  </si>
  <si>
    <t>Algebra Software Analytics</t>
  </si>
  <si>
    <t>Automation Anywhere</t>
  </si>
  <si>
    <t>IBM Interactive Experience</t>
  </si>
  <si>
    <t>TEKsystems</t>
  </si>
  <si>
    <t>Acalvio</t>
  </si>
  <si>
    <t>Genesis Group Software Developers</t>
  </si>
  <si>
    <t>PokerStars</t>
  </si>
  <si>
    <t>The Self Employed Association</t>
  </si>
  <si>
    <t>Bounce</t>
  </si>
  <si>
    <t>Goldman Sachs</t>
  </si>
  <si>
    <t>Algo8.ai</t>
  </si>
  <si>
    <t>Xenon Automotive</t>
  </si>
  <si>
    <t>ALTEN</t>
  </si>
  <si>
    <t>Diverse Lynx</t>
  </si>
  <si>
    <t>Red Hat</t>
  </si>
  <si>
    <t>Informatica</t>
  </si>
  <si>
    <t>Falabella</t>
  </si>
  <si>
    <t>Toastmasters International</t>
  </si>
  <si>
    <t>KYC Hub</t>
  </si>
  <si>
    <t>Texas Instruments</t>
  </si>
  <si>
    <t>MResult Services</t>
  </si>
  <si>
    <t>Vumonic Technologies</t>
  </si>
  <si>
    <t>SenSight Technologies</t>
  </si>
  <si>
    <t>Utopia</t>
  </si>
  <si>
    <t>TAG Solutions</t>
  </si>
  <si>
    <t>Tesla</t>
  </si>
  <si>
    <t>Bestintown Analytics</t>
  </si>
  <si>
    <t>BRIDGEi2i</t>
  </si>
  <si>
    <t>Defence Research &amp; Development Organisation</t>
  </si>
  <si>
    <t>dataZen Engineering</t>
  </si>
  <si>
    <t>UnitedHealthCare</t>
  </si>
  <si>
    <t>SelotSoft</t>
  </si>
  <si>
    <t>T-Mobile</t>
  </si>
  <si>
    <t>ICICI Bank</t>
  </si>
  <si>
    <t>Stayzilla</t>
  </si>
  <si>
    <t>BITS Pilani</t>
  </si>
  <si>
    <t>Hashworks</t>
  </si>
  <si>
    <t>Citicorp Services India</t>
  </si>
  <si>
    <t>Persistent Networks</t>
  </si>
  <si>
    <t>Nhai</t>
  </si>
  <si>
    <t>The Data Team</t>
  </si>
  <si>
    <t>Decision Minds</t>
  </si>
  <si>
    <t>SeedOlabs</t>
  </si>
  <si>
    <t>Symphony Teleca</t>
  </si>
  <si>
    <t>Opia Labs</t>
  </si>
  <si>
    <t>Customer Centria</t>
  </si>
  <si>
    <t>Adecco</t>
  </si>
  <si>
    <t>Rplus Analytics</t>
  </si>
  <si>
    <t>ExperienceFlow</t>
  </si>
  <si>
    <t>Praktice Ai</t>
  </si>
  <si>
    <t>Yottaasys</t>
  </si>
  <si>
    <t>Instamojo</t>
  </si>
  <si>
    <t>TheMathCompany</t>
  </si>
  <si>
    <t>IQLECT</t>
  </si>
  <si>
    <t>qwerty12</t>
  </si>
  <si>
    <t>Institute of Engineering &amp; Management</t>
  </si>
  <si>
    <t>Vsoft</t>
  </si>
  <si>
    <t>Alackrity Consols</t>
  </si>
  <si>
    <t>Neudesic</t>
  </si>
  <si>
    <t>Mad Street Den Systems</t>
  </si>
  <si>
    <t>CENTURYLINK</t>
  </si>
  <si>
    <t>Educational Initiatives</t>
  </si>
  <si>
    <t>RS Software</t>
  </si>
  <si>
    <t>Hdfc</t>
  </si>
  <si>
    <t>Digital Trainee</t>
  </si>
  <si>
    <t>Datafoundry</t>
  </si>
  <si>
    <t>Enterprise Bot</t>
  </si>
  <si>
    <t>Navriti Technologies</t>
  </si>
  <si>
    <t>ABCDEF</t>
  </si>
  <si>
    <t>Toptal</t>
  </si>
  <si>
    <t>Altisource</t>
  </si>
  <si>
    <t>Atlassian</t>
  </si>
  <si>
    <t>SunEdison</t>
  </si>
  <si>
    <t>Fellowship.AI</t>
  </si>
  <si>
    <t>Sonasoft</t>
  </si>
  <si>
    <t>Manthan Studio</t>
  </si>
  <si>
    <t>Trell</t>
  </si>
  <si>
    <t>Fresherworld.com</t>
  </si>
  <si>
    <t>Maybank</t>
  </si>
  <si>
    <t>ABC Consultants</t>
  </si>
  <si>
    <t>QUILT.AI</t>
  </si>
  <si>
    <t>Firstsource Solutions</t>
  </si>
  <si>
    <t>dhiOmics Analytics Solutions</t>
  </si>
  <si>
    <t>Genpact</t>
  </si>
  <si>
    <t>Inspirisys Solutions Limited</t>
  </si>
  <si>
    <t>Proven Consult</t>
  </si>
  <si>
    <t>GyanSys</t>
  </si>
  <si>
    <t>Boston Consulting Group</t>
  </si>
  <si>
    <t>NaviRisk Consulting</t>
  </si>
  <si>
    <t>GoodWorkLabs Services</t>
  </si>
  <si>
    <t>Tech Systems</t>
  </si>
  <si>
    <t>LendingKart</t>
  </si>
  <si>
    <t>BioXcel Corporation</t>
  </si>
  <si>
    <t>K-Arogia Advisory Services</t>
  </si>
  <si>
    <t>Lumen</t>
  </si>
  <si>
    <t>Autodesk</t>
  </si>
  <si>
    <t>Sravathi Advance Process Technologies</t>
  </si>
  <si>
    <t>CSS Corporation</t>
  </si>
  <si>
    <t>Pegasystems</t>
  </si>
  <si>
    <t>Tata Elxsi</t>
  </si>
  <si>
    <t>Credit Saison India</t>
  </si>
  <si>
    <t>AXA GO Business Operations</t>
  </si>
  <si>
    <t>CSC</t>
  </si>
  <si>
    <t>BigHaat</t>
  </si>
  <si>
    <t>Silicon Valley Bank</t>
  </si>
  <si>
    <t>Aashish sharma</t>
  </si>
  <si>
    <t>Datalicious</t>
  </si>
  <si>
    <t>Quinbay</t>
  </si>
  <si>
    <t>Bajaj Finance</t>
  </si>
  <si>
    <t>Real Time Signals</t>
  </si>
  <si>
    <t>Zealeers Technologies</t>
  </si>
  <si>
    <t>Alliance Data</t>
  </si>
  <si>
    <t>Lava International</t>
  </si>
  <si>
    <t>Microland</t>
  </si>
  <si>
    <t>Rubixe</t>
  </si>
  <si>
    <t>Piramal Enterprises</t>
  </si>
  <si>
    <t>Synopsys</t>
  </si>
  <si>
    <t>Sahaj Software Solutions</t>
  </si>
  <si>
    <t>AnalytixLabs</t>
  </si>
  <si>
    <t>Global Talent Pool</t>
  </si>
  <si>
    <t>Digité</t>
  </si>
  <si>
    <t>Naveen Engineering</t>
  </si>
  <si>
    <t>Rubicon Red</t>
  </si>
  <si>
    <t>Arjun Kappor</t>
  </si>
  <si>
    <t>MiQ</t>
  </si>
  <si>
    <t>Nityo Infotech</t>
  </si>
  <si>
    <t>Zopper</t>
  </si>
  <si>
    <t>Innodatatics</t>
  </si>
  <si>
    <t>myGate</t>
  </si>
  <si>
    <t>Jaitra</t>
  </si>
  <si>
    <t>SLK Group</t>
  </si>
  <si>
    <t>CAP FORCE</t>
  </si>
  <si>
    <t>Darashaw Consultants</t>
  </si>
  <si>
    <t>Tapzo</t>
  </si>
  <si>
    <t>Kapil IT Solutions</t>
  </si>
  <si>
    <t>LatentView Analytics</t>
  </si>
  <si>
    <t>K &amp; K Technical Group</t>
  </si>
  <si>
    <t>Cornerstone OnDemand</t>
  </si>
  <si>
    <t>TerraBlue XT</t>
  </si>
  <si>
    <t>GetMyUni</t>
  </si>
  <si>
    <t>Pluto7</t>
  </si>
  <si>
    <t>Infinite Computer Solutions</t>
  </si>
  <si>
    <t>TVM Infotech</t>
  </si>
  <si>
    <t>TCS e-Serve International</t>
  </si>
  <si>
    <t>Admit.me</t>
  </si>
  <si>
    <t>Envestnet</t>
  </si>
  <si>
    <t>ExcelR</t>
  </si>
  <si>
    <t>REACH Technologies</t>
  </si>
  <si>
    <t>Cerulean Information Technology</t>
  </si>
  <si>
    <t>Rajat Minerals</t>
  </si>
  <si>
    <t>Jarvis Technology &amp; Strategy Consulting</t>
  </si>
  <si>
    <t>BizViz Technologies</t>
  </si>
  <si>
    <t>CAPA - Centre for Aviation</t>
  </si>
  <si>
    <t>CoffeeBeans Consulting</t>
  </si>
  <si>
    <t>Neewee</t>
  </si>
  <si>
    <t>Aegis</t>
  </si>
  <si>
    <t>RDA Labs</t>
  </si>
  <si>
    <t>Avian Acquisition</t>
  </si>
  <si>
    <t>BuddhiMed Technologies</t>
  </si>
  <si>
    <t>Wizely</t>
  </si>
  <si>
    <t>Nestaway Technologies</t>
  </si>
  <si>
    <t>Artis signature</t>
  </si>
  <si>
    <t>Niama-Riesser</t>
  </si>
  <si>
    <t>CareerNet Consulting</t>
  </si>
  <si>
    <t>OTO Capital</t>
  </si>
  <si>
    <t>OkCredit</t>
  </si>
  <si>
    <t>Ninestars Information Technologies</t>
  </si>
  <si>
    <t>Amar Singh Chawal Wala</t>
  </si>
  <si>
    <t>D2K Technologies India</t>
  </si>
  <si>
    <t>W.O. Insurance Brokers</t>
  </si>
  <si>
    <t>Indian Institute of Science</t>
  </si>
  <si>
    <t>Apra Labs</t>
  </si>
  <si>
    <t>Amazon</t>
  </si>
  <si>
    <t>EagleView</t>
  </si>
  <si>
    <t>Samsung India Electronics</t>
  </si>
  <si>
    <t>Self</t>
  </si>
  <si>
    <t>KhataBook</t>
  </si>
  <si>
    <t>Meta</t>
  </si>
  <si>
    <t>Yotta Systems</t>
  </si>
  <si>
    <t>Neha Bhakat</t>
  </si>
  <si>
    <t>Batlivala &amp; Karani Securities</t>
  </si>
  <si>
    <t>Abhinav Immigration Services Pvt. Ltd.</t>
  </si>
  <si>
    <t>Tekion</t>
  </si>
  <si>
    <t>Blah</t>
  </si>
  <si>
    <t>Musubi Management</t>
  </si>
  <si>
    <t>CSIR-NGRI</t>
  </si>
  <si>
    <t>Schneider Electric</t>
  </si>
  <si>
    <t>Multi Recruit</t>
  </si>
  <si>
    <t>Simplify360</t>
  </si>
  <si>
    <t>ZestMoney</t>
  </si>
  <si>
    <t>redBus India</t>
  </si>
  <si>
    <t>qplum</t>
  </si>
  <si>
    <t>YGroup Companies</t>
  </si>
  <si>
    <t>Virtual Employee</t>
  </si>
  <si>
    <t>Suhana Shabnam</t>
  </si>
  <si>
    <t>Elasto Tech Industries</t>
  </si>
  <si>
    <t>Saksoft</t>
  </si>
  <si>
    <t>Neviton</t>
  </si>
  <si>
    <t>Megha Engineering and Infrastructure</t>
  </si>
  <si>
    <t>Zebra Technologies</t>
  </si>
  <si>
    <t>Jupiter Money</t>
  </si>
  <si>
    <t>DataScientest</t>
  </si>
  <si>
    <t>Inceptua</t>
  </si>
  <si>
    <t>Chemdiqas R &amp; D</t>
  </si>
  <si>
    <t>Freelance</t>
  </si>
  <si>
    <t>Tricog Health Services</t>
  </si>
  <si>
    <t>Everyday Health Group</t>
  </si>
  <si>
    <t>Raja Software Labs</t>
  </si>
  <si>
    <t>Precifab Technologies</t>
  </si>
  <si>
    <t>Dacasa Financeira</t>
  </si>
  <si>
    <t>Kaplan</t>
  </si>
  <si>
    <t>Speridian Technologies</t>
  </si>
  <si>
    <t>Evarcity</t>
  </si>
  <si>
    <t>Lucidity Consulting Group</t>
  </si>
  <si>
    <t>Furlenco</t>
  </si>
  <si>
    <t>MagicBricks</t>
  </si>
  <si>
    <t>Government Engineering College</t>
  </si>
  <si>
    <t>Sears</t>
  </si>
  <si>
    <t>Accurence</t>
  </si>
  <si>
    <t>EXL Service</t>
  </si>
  <si>
    <t>i4u Labs</t>
  </si>
  <si>
    <t>Amara Raja</t>
  </si>
  <si>
    <t>pion.ai</t>
  </si>
  <si>
    <t>Allianz</t>
  </si>
  <si>
    <t>BT</t>
  </si>
  <si>
    <t>Infosys BPM</t>
  </si>
  <si>
    <t>HSBC Electronic Data Processing India</t>
  </si>
  <si>
    <t>Inventeron Technologies And Business Solutions</t>
  </si>
  <si>
    <t>Symphony RetailAI</t>
  </si>
  <si>
    <t>Novozymes</t>
  </si>
  <si>
    <t>Sling Media</t>
  </si>
  <si>
    <t>Fortraiz Infosec</t>
  </si>
  <si>
    <t>Confidential</t>
  </si>
  <si>
    <t>Freelancer</t>
  </si>
  <si>
    <t>Maharshi</t>
  </si>
  <si>
    <t>CommerceIQ</t>
  </si>
  <si>
    <t>StoneX</t>
  </si>
  <si>
    <t>Pluralsight</t>
  </si>
  <si>
    <t>Samsung Research America</t>
  </si>
  <si>
    <t>Sabre</t>
  </si>
  <si>
    <t>Tesco Bengaluru</t>
  </si>
  <si>
    <t>Big Data Science Research</t>
  </si>
  <si>
    <t>Gear up</t>
  </si>
  <si>
    <t>Allegion</t>
  </si>
  <si>
    <t>Orbinet Technologies</t>
  </si>
  <si>
    <t>InnovatorsBay</t>
  </si>
  <si>
    <t>Epsilon</t>
  </si>
  <si>
    <t>Reliance Industries</t>
  </si>
  <si>
    <t>Elpis IT Solutions</t>
  </si>
  <si>
    <t>Silfra Technologies</t>
  </si>
  <si>
    <t>Enquero</t>
  </si>
  <si>
    <t>Safeducate Institute of Learning</t>
  </si>
  <si>
    <t>Unbxd</t>
  </si>
  <si>
    <t>Hotify</t>
  </si>
  <si>
    <t>Shiv Nadar University</t>
  </si>
  <si>
    <t>Deccan Infosystems</t>
  </si>
  <si>
    <t>AXA</t>
  </si>
  <si>
    <t>HyperWorks Imaging</t>
  </si>
  <si>
    <t>Other</t>
  </si>
  <si>
    <t>Netradyne</t>
  </si>
  <si>
    <t>Commonwealth Bank of Australia</t>
  </si>
  <si>
    <t>Cepheid</t>
  </si>
  <si>
    <t>Talent Zone Consultants</t>
  </si>
  <si>
    <t>Starcom Information Technology</t>
  </si>
  <si>
    <t>Equinor</t>
  </si>
  <si>
    <t>Datascribe Technologies</t>
  </si>
  <si>
    <t>Akaike Technologies</t>
  </si>
  <si>
    <t>Tenzai</t>
  </si>
  <si>
    <t>Grab</t>
  </si>
  <si>
    <t>Pratilipi</t>
  </si>
  <si>
    <t>PK</t>
  </si>
  <si>
    <t>Shashank Medi Pharma</t>
  </si>
  <si>
    <t>Rashi Information Services</t>
  </si>
  <si>
    <t>NielsenIQ</t>
  </si>
  <si>
    <t>Practo Technologies</t>
  </si>
  <si>
    <t>Couture AI</t>
  </si>
  <si>
    <t>Litifer</t>
  </si>
  <si>
    <t>L Brands</t>
  </si>
  <si>
    <t>Nuartin Labs</t>
  </si>
  <si>
    <t>Freshworks</t>
  </si>
  <si>
    <t>LTI</t>
  </si>
  <si>
    <t>BankBazaar</t>
  </si>
  <si>
    <t>GCC services</t>
  </si>
  <si>
    <t>Dayananda Sagar College of Engineering</t>
  </si>
  <si>
    <t>Google</t>
  </si>
  <si>
    <t>Vmoksha Technologies</t>
  </si>
  <si>
    <t>HiLabs</t>
  </si>
  <si>
    <t>Fiserv</t>
  </si>
  <si>
    <t>Ziafa Technologies</t>
  </si>
  <si>
    <t>Webi7</t>
  </si>
  <si>
    <t>Prakshep</t>
  </si>
  <si>
    <t>Deutsche Bank</t>
  </si>
  <si>
    <t>Giftiicon</t>
  </si>
  <si>
    <t>Synechron</t>
  </si>
  <si>
    <t>Postman</t>
  </si>
  <si>
    <t>AmberTAG Analytics</t>
  </si>
  <si>
    <t>ABC Tech</t>
  </si>
  <si>
    <t>Allstate India</t>
  </si>
  <si>
    <t>MoneyTap</t>
  </si>
  <si>
    <t>Almug</t>
  </si>
  <si>
    <t>Refinitiv</t>
  </si>
  <si>
    <t>Cyient</t>
  </si>
  <si>
    <t>Losch Engineering</t>
  </si>
  <si>
    <t>AMPROVIT TECHNOLOGIES</t>
  </si>
  <si>
    <t>Kiwi labs</t>
  </si>
  <si>
    <t>BidMath</t>
  </si>
  <si>
    <t>Siemens Healthineers</t>
  </si>
  <si>
    <t>CognitiveWorks</t>
  </si>
  <si>
    <t>Sunrise Senior Living</t>
  </si>
  <si>
    <t>VJTI</t>
  </si>
  <si>
    <t>Levi Strauss</t>
  </si>
  <si>
    <t>AscentHR Services</t>
  </si>
  <si>
    <t>Snap</t>
  </si>
  <si>
    <t>WNS</t>
  </si>
  <si>
    <t>Schlumberger</t>
  </si>
  <si>
    <t>Atos-Syntel</t>
  </si>
  <si>
    <t>Forec Software Solutions</t>
  </si>
  <si>
    <t>Pune</t>
  </si>
  <si>
    <t>Innoplexus</t>
  </si>
  <si>
    <t>AlgoAnalytics Financial Consultancy</t>
  </si>
  <si>
    <t>Wolters Kluwer</t>
  </si>
  <si>
    <t>SG Analytics</t>
  </si>
  <si>
    <t>Michelin</t>
  </si>
  <si>
    <t>Tech Mahindra</t>
  </si>
  <si>
    <t>Merkle</t>
  </si>
  <si>
    <t>Vodafone</t>
  </si>
  <si>
    <t>Eaton</t>
  </si>
  <si>
    <t>T-Systems</t>
  </si>
  <si>
    <t>Coupa Software Inc</t>
  </si>
  <si>
    <t>Aera Technology</t>
  </si>
  <si>
    <t>ABC</t>
  </si>
  <si>
    <t>Amdocs</t>
  </si>
  <si>
    <t>Barclays</t>
  </si>
  <si>
    <t>KPIT Technologies</t>
  </si>
  <si>
    <t>Credit Suisse</t>
  </si>
  <si>
    <t>Saama Technologies</t>
  </si>
  <si>
    <t>Exela Technologies</t>
  </si>
  <si>
    <t>Linsyssoft Technologies</t>
  </si>
  <si>
    <t>ADP</t>
  </si>
  <si>
    <t>Birlasoft</t>
  </si>
  <si>
    <t>John Deere</t>
  </si>
  <si>
    <t>Xoriant</t>
  </si>
  <si>
    <t>GS Lab</t>
  </si>
  <si>
    <t>Searce</t>
  </si>
  <si>
    <t>Globant</t>
  </si>
  <si>
    <t>e-Zest Solutions</t>
  </si>
  <si>
    <t>Datametica</t>
  </si>
  <si>
    <t>Vyom Labs</t>
  </si>
  <si>
    <t>Vishwakarma Institute of Technology</t>
  </si>
  <si>
    <t>Knorex</t>
  </si>
  <si>
    <t>CanWill Technologies</t>
  </si>
  <si>
    <t>ThinkBridge</t>
  </si>
  <si>
    <t>Coditation Systems</t>
  </si>
  <si>
    <t>MindBowser Info Solutions</t>
  </si>
  <si>
    <t>Climate Connect</t>
  </si>
  <si>
    <t>Tech9</t>
  </si>
  <si>
    <t>Eagle TK Infotech</t>
  </si>
  <si>
    <t>Fusion Practices</t>
  </si>
  <si>
    <t>Xeco</t>
  </si>
  <si>
    <t>DeepTek Medical Imaging</t>
  </si>
  <si>
    <t>vElement</t>
  </si>
  <si>
    <t>Asquared IoT</t>
  </si>
  <si>
    <t>HiLabs (MD)</t>
  </si>
  <si>
    <t>Jash Data Sciences</t>
  </si>
  <si>
    <t>Concentrix</t>
  </si>
  <si>
    <t>Persistent Systems</t>
  </si>
  <si>
    <t>Kotak Mahindra</t>
  </si>
  <si>
    <t>eClerx</t>
  </si>
  <si>
    <t>BNY Mellon</t>
  </si>
  <si>
    <t>Zomato</t>
  </si>
  <si>
    <t>Hinduja Global Solutions</t>
  </si>
  <si>
    <t>TietoEVRY</t>
  </si>
  <si>
    <t>Johnson Controls</t>
  </si>
  <si>
    <t>Dassault Systemes</t>
  </si>
  <si>
    <t>MetLife</t>
  </si>
  <si>
    <t>Visteon</t>
  </si>
  <si>
    <t>PhonePe</t>
  </si>
  <si>
    <t>C-DAC</t>
  </si>
  <si>
    <t>Attra</t>
  </si>
  <si>
    <t>NICE</t>
  </si>
  <si>
    <t>Sokrati</t>
  </si>
  <si>
    <t>Pitney Bowes</t>
  </si>
  <si>
    <t>FirstCry com</t>
  </si>
  <si>
    <t>Internshala</t>
  </si>
  <si>
    <t>BlueConch Technologies</t>
  </si>
  <si>
    <t>Volkswagen</t>
  </si>
  <si>
    <t>Dream11</t>
  </si>
  <si>
    <t>SS Supply Chain Solutions</t>
  </si>
  <si>
    <t>Cognizant Softvision</t>
  </si>
  <si>
    <t>Goodwill</t>
  </si>
  <si>
    <t>IVL Global</t>
  </si>
  <si>
    <t>Verificient Technologies</t>
  </si>
  <si>
    <t>Tata Research Development and Design Centre</t>
  </si>
  <si>
    <t>Medline Industries</t>
  </si>
  <si>
    <t>Amphisoft Technologies</t>
  </si>
  <si>
    <t>Pratham</t>
  </si>
  <si>
    <t>Evolent Health</t>
  </si>
  <si>
    <t>Presidency University (Bangalore)</t>
  </si>
  <si>
    <t>Google Cloud</t>
  </si>
  <si>
    <t>ABC do ABC</t>
  </si>
  <si>
    <t>advids.co</t>
  </si>
  <si>
    <t>vPhrase</t>
  </si>
  <si>
    <t>EarlySalary.com</t>
  </si>
  <si>
    <t>Helpshift</t>
  </si>
  <si>
    <t>ThinkBumblebee Analytics</t>
  </si>
  <si>
    <t>OnlineSales.ai</t>
  </si>
  <si>
    <t>Ellicium Solutions Private Limited</t>
  </si>
  <si>
    <t>RAKESH GROUP</t>
  </si>
  <si>
    <t>Yagna iQ</t>
  </si>
  <si>
    <t>Apptware</t>
  </si>
  <si>
    <t>Seventh Contact Hiring Solutions</t>
  </si>
  <si>
    <t>Peak</t>
  </si>
  <si>
    <t>Cloud Counselage</t>
  </si>
  <si>
    <t>Gibots</t>
  </si>
  <si>
    <t>SCORG Technologies</t>
  </si>
  <si>
    <t>Infodeal</t>
  </si>
  <si>
    <t>BancTec</t>
  </si>
  <si>
    <t>American Student Assistance</t>
  </si>
  <si>
    <t>Raghavendra Rathore Jodhpur</t>
  </si>
  <si>
    <t>Navidium</t>
  </si>
  <si>
    <t>Express Analytics</t>
  </si>
  <si>
    <t>Optra Health</t>
  </si>
  <si>
    <t>WebShar</t>
  </si>
  <si>
    <t>Kudos Finance and Investments</t>
  </si>
  <si>
    <t>Argus System</t>
  </si>
  <si>
    <t>IFS India Mercantile</t>
  </si>
  <si>
    <t>DasDas</t>
  </si>
  <si>
    <t>Pisyst</t>
  </si>
  <si>
    <t>Comsense Technologies</t>
  </si>
  <si>
    <t>Entrepreneurs' Organization</t>
  </si>
  <si>
    <t>ManCorp Innovation Labs</t>
  </si>
  <si>
    <t>Samyak Software</t>
  </si>
  <si>
    <t>JarvisSoft Technology</t>
  </si>
  <si>
    <t>NutaNXT Technologies</t>
  </si>
  <si>
    <t>QiO Technologies</t>
  </si>
  <si>
    <t>Expert Freelancer Inc.</t>
  </si>
  <si>
    <t>Strattek Consulting</t>
  </si>
  <si>
    <t>Srivenk Soft Solutions</t>
  </si>
  <si>
    <t>Automaton AI</t>
  </si>
  <si>
    <t>Shogini Technoarts</t>
  </si>
  <si>
    <t>Global AI</t>
  </si>
  <si>
    <t>Go Digital</t>
  </si>
  <si>
    <t>Prophecy Labs</t>
  </si>
  <si>
    <t>Aniket Sonawane</t>
  </si>
  <si>
    <t>URS Technologies Solutions</t>
  </si>
  <si>
    <t>EventStreet</t>
  </si>
  <si>
    <t>Kushim</t>
  </si>
  <si>
    <t>Flipper Code</t>
  </si>
  <si>
    <t>We Are Novella</t>
  </si>
  <si>
    <t>akhil sajeev</t>
  </si>
  <si>
    <t>VisionNLP</t>
  </si>
  <si>
    <t>PSL (India)</t>
  </si>
  <si>
    <t>Innoplexus Associate</t>
  </si>
  <si>
    <t>Data Science Consultant</t>
  </si>
  <si>
    <t>ZS Associates Senior</t>
  </si>
  <si>
    <t>Coriolis Technologies</t>
  </si>
  <si>
    <t>Data Science</t>
  </si>
  <si>
    <t>Senior Data Scientist</t>
  </si>
  <si>
    <t>Icertis</t>
  </si>
  <si>
    <t>Abzooba</t>
  </si>
  <si>
    <t>Junior Data Scientist</t>
  </si>
  <si>
    <t>Maxgen Technologies</t>
  </si>
  <si>
    <t>Lead Data Scientist</t>
  </si>
  <si>
    <t>Data Science Manager</t>
  </si>
  <si>
    <t>Data Scientist - Trainee</t>
  </si>
  <si>
    <t>Data Science Lead</t>
  </si>
  <si>
    <t>Nones Data Science</t>
  </si>
  <si>
    <t>JCB</t>
  </si>
  <si>
    <t>Subway</t>
  </si>
  <si>
    <t>Fresh Gravity</t>
  </si>
  <si>
    <t>Ecozen Solutions</t>
  </si>
  <si>
    <t>Sciffer Analytics</t>
  </si>
  <si>
    <t>Aventior</t>
  </si>
  <si>
    <t>DemandMatrix</t>
  </si>
  <si>
    <t>Technogeeks</t>
  </si>
  <si>
    <t>Unscrambl</t>
  </si>
  <si>
    <t>NTT DATA</t>
  </si>
  <si>
    <t>Zensar Technologies</t>
  </si>
  <si>
    <t>UBS</t>
  </si>
  <si>
    <t>TVS Motor Company</t>
  </si>
  <si>
    <t>Bajaj Allianz General Insurance Co</t>
  </si>
  <si>
    <t>Xento Systems</t>
  </si>
  <si>
    <t>Quick Heal</t>
  </si>
  <si>
    <t>XPO Logistics</t>
  </si>
  <si>
    <t>GE Capital</t>
  </si>
  <si>
    <t>USEReady</t>
  </si>
  <si>
    <t>Blackstraw</t>
  </si>
  <si>
    <t>Aegon</t>
  </si>
  <si>
    <t>Aligned Automation</t>
  </si>
  <si>
    <t>AlgoAnalytics Pvt. Ltd.</t>
  </si>
  <si>
    <t>Groots (India)</t>
  </si>
  <si>
    <t>Ambrapali Electrotech</t>
  </si>
  <si>
    <t>Hyderabad</t>
  </si>
  <si>
    <t>Innominds Software</t>
  </si>
  <si>
    <t>Quadratic Insights</t>
  </si>
  <si>
    <t>Jotter</t>
  </si>
  <si>
    <t>Verizon</t>
  </si>
  <si>
    <t>Optum</t>
  </si>
  <si>
    <t>Novartis</t>
  </si>
  <si>
    <t>Karvy Group</t>
  </si>
  <si>
    <t>HighRadius</t>
  </si>
  <si>
    <t>Micron Technology</t>
  </si>
  <si>
    <t>Yash Technologies</t>
  </si>
  <si>
    <t>Claim Genius</t>
  </si>
  <si>
    <t>Franklin Templeton Investments</t>
  </si>
  <si>
    <t>Brane Enterprises (nslhub)</t>
  </si>
  <si>
    <t>Voziq</t>
  </si>
  <si>
    <t>Virtusa</t>
  </si>
  <si>
    <t>Legato Health Technologies</t>
  </si>
  <si>
    <t>Dr. Reddy's</t>
  </si>
  <si>
    <t>DBS Bank</t>
  </si>
  <si>
    <t>Broadridge</t>
  </si>
  <si>
    <t>Great Learning</t>
  </si>
  <si>
    <t>National Payments Corporation of India</t>
  </si>
  <si>
    <t>Excelra Knowledge Solutions</t>
  </si>
  <si>
    <t>WinWire Technologies</t>
  </si>
  <si>
    <t>CallHealth</t>
  </si>
  <si>
    <t>Gaian Solutions India</t>
  </si>
  <si>
    <t>eKincare</t>
  </si>
  <si>
    <t>Siva Solutions</t>
  </si>
  <si>
    <t>SpringML</t>
  </si>
  <si>
    <t>AppsTek</t>
  </si>
  <si>
    <t>Vertiv</t>
  </si>
  <si>
    <t>My Ally</t>
  </si>
  <si>
    <t>GoLorry</t>
  </si>
  <si>
    <t>Bepec Solutions</t>
  </si>
  <si>
    <t>KOGENTiX</t>
  </si>
  <si>
    <t>Prudent Technologies &amp; Consulting</t>
  </si>
  <si>
    <t>App Orchid</t>
  </si>
  <si>
    <t>3LOQ Labs</t>
  </si>
  <si>
    <t>RisingRoot Technologies</t>
  </si>
  <si>
    <t>Artificial Penetration</t>
  </si>
  <si>
    <t>Wave Infosoft</t>
  </si>
  <si>
    <t>SetuServ</t>
  </si>
  <si>
    <t>DigiTele Networks</t>
  </si>
  <si>
    <t>Human Network</t>
  </si>
  <si>
    <t>diwo</t>
  </si>
  <si>
    <t>SysBasis Solutions</t>
  </si>
  <si>
    <t>CGI</t>
  </si>
  <si>
    <t>State Bank of India</t>
  </si>
  <si>
    <t>Bank of America</t>
  </si>
  <si>
    <t>CRISIL</t>
  </si>
  <si>
    <t>S&amp;P Global</t>
  </si>
  <si>
    <t>ValueLabs</t>
  </si>
  <si>
    <t>Uber</t>
  </si>
  <si>
    <t>Intellect Design Arena</t>
  </si>
  <si>
    <t>upGrad</t>
  </si>
  <si>
    <t>Bharat Heavy Electricals</t>
  </si>
  <si>
    <t>Vodafone Idea</t>
  </si>
  <si>
    <t>Not Applicable</t>
  </si>
  <si>
    <t>Toppr.com</t>
  </si>
  <si>
    <t>3i Infotech</t>
  </si>
  <si>
    <t>D. E. Shaw India</t>
  </si>
  <si>
    <t>Parexel</t>
  </si>
  <si>
    <t>GlobalData</t>
  </si>
  <si>
    <t>Ivy</t>
  </si>
  <si>
    <t>AGS Health</t>
  </si>
  <si>
    <t>Hitachi</t>
  </si>
  <si>
    <t>SoCtronics</t>
  </si>
  <si>
    <t>Electronic Arts</t>
  </si>
  <si>
    <t>Merilytics</t>
  </si>
  <si>
    <t>College Board</t>
  </si>
  <si>
    <t>Indian School of Business</t>
  </si>
  <si>
    <t>Optum Global Solutions India</t>
  </si>
  <si>
    <t>Phenom</t>
  </si>
  <si>
    <t>XYZ Pvt LTD</t>
  </si>
  <si>
    <t>Evoke Technologies</t>
  </si>
  <si>
    <t>The Sparks Foundation</t>
  </si>
  <si>
    <t>Shree Cement</t>
  </si>
  <si>
    <t>Bharat Financial Inclusion</t>
  </si>
  <si>
    <t>Magnaquest</t>
  </si>
  <si>
    <t>MOURI Tech</t>
  </si>
  <si>
    <t>Industryarc</t>
  </si>
  <si>
    <t>Zen3 Info Solutions</t>
  </si>
  <si>
    <t>Qwerty Concepts</t>
  </si>
  <si>
    <t>Object Technology Solutions India</t>
  </si>
  <si>
    <t>New Delhi</t>
  </si>
  <si>
    <t>Ericsson-Worldwide</t>
  </si>
  <si>
    <t>dunnhumby</t>
  </si>
  <si>
    <t>Nagarro</t>
  </si>
  <si>
    <t>Valiance Solutions</t>
  </si>
  <si>
    <t>OYO</t>
  </si>
  <si>
    <t>Innovaccer</t>
  </si>
  <si>
    <t>CARS24.com</t>
  </si>
  <si>
    <t>Vidooly Media Tech</t>
  </si>
  <si>
    <t>ParallelDots</t>
  </si>
  <si>
    <t>Times Internet</t>
  </si>
  <si>
    <t>R Systems</t>
  </si>
  <si>
    <t>Gartner</t>
  </si>
  <si>
    <t>Sprinklr</t>
  </si>
  <si>
    <t>Guavus</t>
  </si>
  <si>
    <t>Octro</t>
  </si>
  <si>
    <t>Humonics</t>
  </si>
  <si>
    <t>LiquidHub</t>
  </si>
  <si>
    <t>Decision Point</t>
  </si>
  <si>
    <t>Elucidata (MA)</t>
  </si>
  <si>
    <t>Inshorts</t>
  </si>
  <si>
    <t>Milkbasket</t>
  </si>
  <si>
    <t>Exzeo</t>
  </si>
  <si>
    <t>Larsen &amp; Toubro</t>
  </si>
  <si>
    <t>Snapdeal</t>
  </si>
  <si>
    <t>IHS Markit</t>
  </si>
  <si>
    <t>McKinsey &amp; Company</t>
  </si>
  <si>
    <t>MakeMyTrip</t>
  </si>
  <si>
    <t>PolicyBazaar</t>
  </si>
  <si>
    <t>Mastercard</t>
  </si>
  <si>
    <t>XYZ Tech</t>
  </si>
  <si>
    <t>Amity University</t>
  </si>
  <si>
    <t>Incedo</t>
  </si>
  <si>
    <t>Aptara</t>
  </si>
  <si>
    <t>Yatra Online Pvt Ltd</t>
  </si>
  <si>
    <t>Xebia</t>
  </si>
  <si>
    <t>Housing.com</t>
  </si>
  <si>
    <t>McKinsey Knowledge Center</t>
  </si>
  <si>
    <t>CarDekho</t>
  </si>
  <si>
    <t>Ericsson IT Solutions &amp; Services</t>
  </si>
  <si>
    <t>OLX Group</t>
  </si>
  <si>
    <t>1mg</t>
  </si>
  <si>
    <t>Denave</t>
  </si>
  <si>
    <t>RateGain</t>
  </si>
  <si>
    <t>Decimal Technologies</t>
  </si>
  <si>
    <t>Verisk Analytics</t>
  </si>
  <si>
    <t>Birdeye</t>
  </si>
  <si>
    <t>Tokopedia</t>
  </si>
  <si>
    <t>RxLogix Corporation</t>
  </si>
  <si>
    <t>Ganit</t>
  </si>
  <si>
    <t>Loginworks</t>
  </si>
  <si>
    <t>Innefu Labs Pvt</t>
  </si>
  <si>
    <t>ABSAS Solutions</t>
  </si>
  <si>
    <t>Ezappsolution</t>
  </si>
  <si>
    <t>Netomi</t>
  </si>
  <si>
    <t>Cargoflash Infotech</t>
  </si>
  <si>
    <t>Blackcoffer</t>
  </si>
  <si>
    <t>Cube26</t>
  </si>
  <si>
    <t>AppyHigh Technology</t>
  </si>
  <si>
    <t>TurningCloud Solutions</t>
  </si>
  <si>
    <t>Child Health Imprints</t>
  </si>
  <si>
    <t>FarmGuide</t>
  </si>
  <si>
    <t>Kvantum</t>
  </si>
  <si>
    <t>Precily</t>
  </si>
  <si>
    <t>Scry Analytics</t>
  </si>
  <si>
    <t>Innowatts</t>
  </si>
  <si>
    <t>Zoho</t>
  </si>
  <si>
    <t>Evalueserve</t>
  </si>
  <si>
    <t>Government of India</t>
  </si>
  <si>
    <t>Amadeus</t>
  </si>
  <si>
    <t>Info Edge</t>
  </si>
  <si>
    <t>CitiusTech</t>
  </si>
  <si>
    <t>Mumbai</t>
  </si>
  <si>
    <t>Quantiphi</t>
  </si>
  <si>
    <t>CASHe</t>
  </si>
  <si>
    <t>RBL Bank</t>
  </si>
  <si>
    <t>ZEE5</t>
  </si>
  <si>
    <t>Mahindra Integrated Business Solutions</t>
  </si>
  <si>
    <t>Pentation Analytics</t>
  </si>
  <si>
    <t>NDS InfoServ</t>
  </si>
  <si>
    <t>Arya.ai</t>
  </si>
  <si>
    <t>HERE Technologies</t>
  </si>
  <si>
    <t>Morningstar</t>
  </si>
  <si>
    <t>L&amp;T Financial Services</t>
  </si>
  <si>
    <t>Episource</t>
  </si>
  <si>
    <t>Loylty Rewardz Mngt</t>
  </si>
  <si>
    <t>Prudential plc</t>
  </si>
  <si>
    <t>NVIDIA</t>
  </si>
  <si>
    <t>Tata AIG General Insurance</t>
  </si>
  <si>
    <t>General Mills</t>
  </si>
  <si>
    <t>Motilal Oswal Securities</t>
  </si>
  <si>
    <t>Tata Group</t>
  </si>
  <si>
    <t>PharmEasy</t>
  </si>
  <si>
    <t>Decimal Point Analytics</t>
  </si>
  <si>
    <t>People Group</t>
  </si>
  <si>
    <t>UPL</t>
  </si>
  <si>
    <t>Lead School (India)</t>
  </si>
  <si>
    <t>LogiNext Solutions</t>
  </si>
  <si>
    <t>Bewakoof Brands</t>
  </si>
  <si>
    <t>Meru Mobility Tech</t>
  </si>
  <si>
    <t>Kissht</t>
  </si>
  <si>
    <t>Radhakrishna Foodland</t>
  </si>
  <si>
    <t>Tableau Software</t>
  </si>
  <si>
    <t>FlexiLoans Technologies</t>
  </si>
  <si>
    <t>Square Panda</t>
  </si>
  <si>
    <t>Think Analytics</t>
  </si>
  <si>
    <t>Locobuzz</t>
  </si>
  <si>
    <t>SMEcorner</t>
  </si>
  <si>
    <t>Quantsapp</t>
  </si>
  <si>
    <t>HDFC Developers</t>
  </si>
  <si>
    <t>Javis</t>
  </si>
  <si>
    <t>Cuddle</t>
  </si>
  <si>
    <t>Arohi Operations</t>
  </si>
  <si>
    <t>Tata Motors</t>
  </si>
  <si>
    <t>EMPLOYERS</t>
  </si>
  <si>
    <t>Yes Bank</t>
  </si>
  <si>
    <t>Self Opportunity</t>
  </si>
  <si>
    <t>IndusInd Bank</t>
  </si>
  <si>
    <t>Bharat Petroleum</t>
  </si>
  <si>
    <t>Edelweiss Financial Services</t>
  </si>
  <si>
    <t>Nomura Holdings</t>
  </si>
  <si>
    <t>TIBCO Software</t>
  </si>
  <si>
    <t>Directi</t>
  </si>
  <si>
    <t>Procter &amp; Gamble</t>
  </si>
  <si>
    <t>MSCI</t>
  </si>
  <si>
    <t>Clover Infotech</t>
  </si>
  <si>
    <t>IIT Kharagpur</t>
  </si>
  <si>
    <t>General Motors (GM)</t>
  </si>
  <si>
    <t>Adani Group</t>
  </si>
  <si>
    <t>Oracle Financial Group</t>
  </si>
  <si>
    <t>Tata Capital</t>
  </si>
  <si>
    <t>Publicis Groupe</t>
  </si>
  <si>
    <t>Mondelēz International</t>
  </si>
  <si>
    <t>infrasoft technologies</t>
  </si>
  <si>
    <t>Zee Entertainment Enterprises Ltd.</t>
  </si>
  <si>
    <t>HDFC Ergo</t>
  </si>
  <si>
    <t>Hotstar</t>
  </si>
  <si>
    <t>Viacom 18</t>
  </si>
  <si>
    <t>Hudl</t>
  </si>
  <si>
    <t>Star TV Network</t>
  </si>
  <si>
    <t>Sanofi</t>
  </si>
  <si>
    <t>Rahul Industries</t>
  </si>
  <si>
    <t>VINAYA KUMAR</t>
  </si>
  <si>
    <t>Data Analyst</t>
  </si>
  <si>
    <t>Proziod</t>
  </si>
  <si>
    <t>BYJU'S</t>
  </si>
  <si>
    <t>Rapido</t>
  </si>
  <si>
    <t>Vedantu</t>
  </si>
  <si>
    <t>udaan.com</t>
  </si>
  <si>
    <t>E2open</t>
  </si>
  <si>
    <t>JLL</t>
  </si>
  <si>
    <t>Pacecom Technologies</t>
  </si>
  <si>
    <t>Sandcube Analytics</t>
  </si>
  <si>
    <t>Kantar Analytics Practice</t>
  </si>
  <si>
    <t>Wells Fargo</t>
  </si>
  <si>
    <t>Unacademy</t>
  </si>
  <si>
    <t>edureka!</t>
  </si>
  <si>
    <t>AIG</t>
  </si>
  <si>
    <t>Zyme Solutions</t>
  </si>
  <si>
    <t>Professional</t>
  </si>
  <si>
    <t>Nineleaps Technology Solutions</t>
  </si>
  <si>
    <t>Bidgely</t>
  </si>
  <si>
    <t>XYZ (Turkey)</t>
  </si>
  <si>
    <t>Apexon</t>
  </si>
  <si>
    <t>Rupeek</t>
  </si>
  <si>
    <t>Unilog Content Solutions</t>
  </si>
  <si>
    <t>Gallagher</t>
  </si>
  <si>
    <t>Grofers</t>
  </si>
  <si>
    <t>Sixth Energy Technologies</t>
  </si>
  <si>
    <t>Daily Ninja</t>
  </si>
  <si>
    <t>Coviam</t>
  </si>
  <si>
    <t>Fidelity National Financial</t>
  </si>
  <si>
    <t>Affine</t>
  </si>
  <si>
    <t>Central Test</t>
  </si>
  <si>
    <t>RentoMojo</t>
  </si>
  <si>
    <t>Empower Retirement</t>
  </si>
  <si>
    <t>Tata Consultancy Services (North America)</t>
  </si>
  <si>
    <t>Scripbox</t>
  </si>
  <si>
    <t>Total Infrastructure Management Solutions</t>
  </si>
  <si>
    <t>Assembly</t>
  </si>
  <si>
    <t>Rainman Consulting</t>
  </si>
  <si>
    <t>Izmo</t>
  </si>
  <si>
    <t>Karvy Computershare</t>
  </si>
  <si>
    <t>SagasIT Analytics</t>
  </si>
  <si>
    <t>Mahindra First Choice Wheels</t>
  </si>
  <si>
    <t>Standard Chartered Bank</t>
  </si>
  <si>
    <t>Noesys Software</t>
  </si>
  <si>
    <t>Clarivate</t>
  </si>
  <si>
    <t>Ipsos</t>
  </si>
  <si>
    <t>Smart Desert</t>
  </si>
  <si>
    <t>HSBC</t>
  </si>
  <si>
    <t>Supermarket Grocery Supplies</t>
  </si>
  <si>
    <t>Yukthi Datasoft</t>
  </si>
  <si>
    <t>MH Alshaya</t>
  </si>
  <si>
    <t>Predictive Research</t>
  </si>
  <si>
    <t>TechnipFMC</t>
  </si>
  <si>
    <t>Tarah Technologies</t>
  </si>
  <si>
    <t>CapFront Technologies</t>
  </si>
  <si>
    <t>Betterplace Safety Solutions</t>
  </si>
  <si>
    <t>WMall</t>
  </si>
  <si>
    <t>Sphera Solutions</t>
  </si>
  <si>
    <t>American Express Global Business Travel</t>
  </si>
  <si>
    <t>Resilinc</t>
  </si>
  <si>
    <t>Qualsquad</t>
  </si>
  <si>
    <t>TresVista</t>
  </si>
  <si>
    <t>Dataction Analytics</t>
  </si>
  <si>
    <t>Cybage Software</t>
  </si>
  <si>
    <t>Machintel</t>
  </si>
  <si>
    <t>Bitwise</t>
  </si>
  <si>
    <t>Yardi Systems</t>
  </si>
  <si>
    <t>Selling Simplified</t>
  </si>
  <si>
    <t>Kantar</t>
  </si>
  <si>
    <t>TSL Marketing</t>
  </si>
  <si>
    <t>IDeaS - A SAS Company</t>
  </si>
  <si>
    <t>Mphasis</t>
  </si>
  <si>
    <t>SSP Technology</t>
  </si>
  <si>
    <t>Atidiv</t>
  </si>
  <si>
    <t>Ubique Systems</t>
  </si>
  <si>
    <t>Exusia</t>
  </si>
  <si>
    <t>Tech Data</t>
  </si>
  <si>
    <t>Tata Technologies</t>
  </si>
  <si>
    <t>Valasys Media</t>
  </si>
  <si>
    <t>AppZen</t>
  </si>
  <si>
    <t>GiantView</t>
  </si>
  <si>
    <t>HSBC Software Development India</t>
  </si>
  <si>
    <t>Energy Exemplar</t>
  </si>
  <si>
    <t>SBT Research</t>
  </si>
  <si>
    <t>InfoCepts</t>
  </si>
  <si>
    <t>Landytech</t>
  </si>
  <si>
    <t>Multibrands International</t>
  </si>
  <si>
    <t>Collabera</t>
  </si>
  <si>
    <t>Sakon</t>
  </si>
  <si>
    <t>Indiacom</t>
  </si>
  <si>
    <t>JetSynthesys</t>
  </si>
  <si>
    <t>Data Philics</t>
  </si>
  <si>
    <t>Friends Union for Energising Lives (Fuel)</t>
  </si>
  <si>
    <t>AffinityX</t>
  </si>
  <si>
    <t>Entercoms</t>
  </si>
  <si>
    <t>NA World Services</t>
  </si>
  <si>
    <t>Rudder Analytics</t>
  </si>
  <si>
    <t>Emcure Pharmaceuticals</t>
  </si>
  <si>
    <t>MarketsandMarkets</t>
  </si>
  <si>
    <t>Águas Guariroba</t>
  </si>
  <si>
    <t>Abhijeet Group</t>
  </si>
  <si>
    <t>Smartek21</t>
  </si>
  <si>
    <t>Progressive Infovision</t>
  </si>
  <si>
    <t>Ample Softech System</t>
  </si>
  <si>
    <t>IIM Kozhikkode</t>
  </si>
  <si>
    <t>Kisan Forum</t>
  </si>
  <si>
    <t>EBC</t>
  </si>
  <si>
    <t>Allstate</t>
  </si>
  <si>
    <t>GTT</t>
  </si>
  <si>
    <t>Strata Decision Technology</t>
  </si>
  <si>
    <t>Appberry</t>
  </si>
  <si>
    <t>Fran Biz</t>
  </si>
  <si>
    <t>Avalara</t>
  </si>
  <si>
    <t>D.A.T.A.</t>
  </si>
  <si>
    <t>Itouch Infotronics</t>
  </si>
  <si>
    <t>DEUSTCHE</t>
  </si>
  <si>
    <t>TeamLease Staffing Solutions</t>
  </si>
  <si>
    <t>Maestro Intellect</t>
  </si>
  <si>
    <t>Horizon Electric</t>
  </si>
  <si>
    <t>Cotiviti</t>
  </si>
  <si>
    <t>Global Market Insights</t>
  </si>
  <si>
    <t>Infort Technology</t>
  </si>
  <si>
    <t>MIT</t>
  </si>
  <si>
    <t>Lalit Roongta Group</t>
  </si>
  <si>
    <t>MIT World Peace University</t>
  </si>
  <si>
    <t>Cubictree Technology Solutions</t>
  </si>
  <si>
    <t>Endurance Technologies</t>
  </si>
  <si>
    <t>Roverside</t>
  </si>
  <si>
    <t>Xyster Consulting</t>
  </si>
  <si>
    <t>ASD</t>
  </si>
  <si>
    <t>WebDirekt</t>
  </si>
  <si>
    <t>Excelsior Research</t>
  </si>
  <si>
    <t>Sunanda Speciality Coatings</t>
  </si>
  <si>
    <t>Northern Alberta Institute of Technology</t>
  </si>
  <si>
    <t>IDEA</t>
  </si>
  <si>
    <t>Tommy Hilfiger</t>
  </si>
  <si>
    <t>Cummins</t>
  </si>
  <si>
    <t>ADHOC Services</t>
  </si>
  <si>
    <t>GGS Engineering Services</t>
  </si>
  <si>
    <t>Cosmos eSolutions &amp; Services</t>
  </si>
  <si>
    <t>Innovatus Technologies</t>
  </si>
  <si>
    <t>Flash Electronics (India)</t>
  </si>
  <si>
    <t>Evolvus</t>
  </si>
  <si>
    <t>Diacto Technologies</t>
  </si>
  <si>
    <t>CAMP Systems</t>
  </si>
  <si>
    <t>GlobalLogic</t>
  </si>
  <si>
    <t>Metrics4 Analytics</t>
  </si>
  <si>
    <t>Teleperformance</t>
  </si>
  <si>
    <t>Dynata</t>
  </si>
  <si>
    <t>Serco Group</t>
  </si>
  <si>
    <t>Quadrant Resource</t>
  </si>
  <si>
    <t>Zeta Global</t>
  </si>
  <si>
    <t>DataBeat</t>
  </si>
  <si>
    <t>Salesforce</t>
  </si>
  <si>
    <t>Apex CoVantage</t>
  </si>
  <si>
    <t>MediaMint</t>
  </si>
  <si>
    <t>MetrixLab</t>
  </si>
  <si>
    <t>IMImobile</t>
  </si>
  <si>
    <t>Quantium</t>
  </si>
  <si>
    <t>HitWicket</t>
  </si>
  <si>
    <t>Indian Political Action Committee</t>
  </si>
  <si>
    <t>Indium Software</t>
  </si>
  <si>
    <t>Trianz</t>
  </si>
  <si>
    <t>Tata Steel</t>
  </si>
  <si>
    <t>Realshoppee Retail</t>
  </si>
  <si>
    <t>ICE Data Services</t>
  </si>
  <si>
    <t>CDK Global</t>
  </si>
  <si>
    <t>Intercontinental Exchange</t>
  </si>
  <si>
    <t>ReferenceGlobe</t>
  </si>
  <si>
    <t>DuPont Sustainable Solutions</t>
  </si>
  <si>
    <t>Wenable Technologies</t>
  </si>
  <si>
    <t>Cogent Data Solutions</t>
  </si>
  <si>
    <t>Solugenix Corporation</t>
  </si>
  <si>
    <t>Minvesta</t>
  </si>
  <si>
    <t>Rajesh Motors</t>
  </si>
  <si>
    <t>SR Edu Solutions</t>
  </si>
  <si>
    <t>YES</t>
  </si>
  <si>
    <t>InsideView</t>
  </si>
  <si>
    <t>Next Education India</t>
  </si>
  <si>
    <t>PrimEra Medical Technologies</t>
  </si>
  <si>
    <t>Hetero</t>
  </si>
  <si>
    <t>E-Prospects</t>
  </si>
  <si>
    <t>GigIndia</t>
  </si>
  <si>
    <t>La casa one</t>
  </si>
  <si>
    <t>VotaryTech</t>
  </si>
  <si>
    <t>Harish Hathiwala</t>
  </si>
  <si>
    <t>Jaffar Engineering Works</t>
  </si>
  <si>
    <t>Snycon Software Solutions</t>
  </si>
  <si>
    <t>Orbit Technologies</t>
  </si>
  <si>
    <t>Marten Transport</t>
  </si>
  <si>
    <t>Multiplier Solutions</t>
  </si>
  <si>
    <t>Vi</t>
  </si>
  <si>
    <t>STUDY Monitor Tech</t>
  </si>
  <si>
    <t>Law In Order</t>
  </si>
  <si>
    <t>Lifetime Wellness Rx International Limited</t>
  </si>
  <si>
    <t>ETG International</t>
  </si>
  <si>
    <t>GMR Hyderabad International Airport</t>
  </si>
  <si>
    <t>Idol Soft</t>
  </si>
  <si>
    <t>DuPont</t>
  </si>
  <si>
    <t>Intelenet</t>
  </si>
  <si>
    <t>Astegic</t>
  </si>
  <si>
    <t>Unify</t>
  </si>
  <si>
    <t>James Hardie</t>
  </si>
  <si>
    <t>American Airlines</t>
  </si>
  <si>
    <t>AnyTimeLoan.in</t>
  </si>
  <si>
    <t>Ardem</t>
  </si>
  <si>
    <t>Berkadia</t>
  </si>
  <si>
    <t>Menukuri chakradhar reddy</t>
  </si>
  <si>
    <t>Saksham Innovations</t>
  </si>
  <si>
    <t>TeacherActive</t>
  </si>
  <si>
    <t>The Smart Cube</t>
  </si>
  <si>
    <t>Axtria</t>
  </si>
  <si>
    <t>Absolutdata</t>
  </si>
  <si>
    <t>Aon</t>
  </si>
  <si>
    <t>AXA XL</t>
  </si>
  <si>
    <t>Mercer</t>
  </si>
  <si>
    <t>Collegedunia</t>
  </si>
  <si>
    <t>MedTourEasy</t>
  </si>
  <si>
    <t>b3Intelligence</t>
  </si>
  <si>
    <t>TransOrg Analytics</t>
  </si>
  <si>
    <t>Toluna</t>
  </si>
  <si>
    <t>TO THE NEW</t>
  </si>
  <si>
    <t>R1 RCM</t>
  </si>
  <si>
    <t>EasyRewardz</t>
  </si>
  <si>
    <t>Better.com</t>
  </si>
  <si>
    <t>Palin Analytics</t>
  </si>
  <si>
    <t>Annik Technology Services</t>
  </si>
  <si>
    <t>QL2</t>
  </si>
  <si>
    <t>DecisionTree Analytics &amp; Services</t>
  </si>
  <si>
    <t>Polestar Solutions &amp; Services India</t>
  </si>
  <si>
    <t>Home Credit India</t>
  </si>
  <si>
    <t>Value Edge Research Services</t>
  </si>
  <si>
    <t>Ameriprise</t>
  </si>
  <si>
    <t>GALYTIX</t>
  </si>
  <si>
    <t>Team Computers</t>
  </si>
  <si>
    <t>Chatous</t>
  </si>
  <si>
    <t>CSC E-Governance Services</t>
  </si>
  <si>
    <t>Adglobal360</t>
  </si>
  <si>
    <t>BlackRock</t>
  </si>
  <si>
    <t>WheelsEye Technology</t>
  </si>
  <si>
    <t>Hive (CA)</t>
  </si>
  <si>
    <t>Apsidata solutions</t>
  </si>
  <si>
    <t>BOLD</t>
  </si>
  <si>
    <t>Urban Company</t>
  </si>
  <si>
    <t>NCR</t>
  </si>
  <si>
    <t>NS Matrix Services</t>
  </si>
  <si>
    <t>NITS</t>
  </si>
  <si>
    <t>Actiknow</t>
  </si>
  <si>
    <t>iEnergizer</t>
  </si>
  <si>
    <t>Delhivery</t>
  </si>
  <si>
    <t>MapmyIndia</t>
  </si>
  <si>
    <t>Limeroad</t>
  </si>
  <si>
    <t>Cvent</t>
  </si>
  <si>
    <t>Glorious Insights</t>
  </si>
  <si>
    <t>Bain &amp; Company</t>
  </si>
  <si>
    <t>NatWest Group</t>
  </si>
  <si>
    <t>Stigasoft</t>
  </si>
  <si>
    <t>Eko India Financial Services</t>
  </si>
  <si>
    <t>Edulyt India</t>
  </si>
  <si>
    <t>Moody's Analytics</t>
  </si>
  <si>
    <t>SupplyCopia</t>
  </si>
  <si>
    <t>United Airlines</t>
  </si>
  <si>
    <t>Elsevier</t>
  </si>
  <si>
    <t>Gauge Data Solutions</t>
  </si>
  <si>
    <t>Anonymous Content</t>
  </si>
  <si>
    <t>NextGen Invent</t>
  </si>
  <si>
    <t>Upwork</t>
  </si>
  <si>
    <t>Moody's Corporation</t>
  </si>
  <si>
    <t>SIQES</t>
  </si>
  <si>
    <t>Risk Management Solutions</t>
  </si>
  <si>
    <t>McKinney and Company</t>
  </si>
  <si>
    <t>ATS Services (India)</t>
  </si>
  <si>
    <t>Adda 247</t>
  </si>
  <si>
    <t>ShipRocket</t>
  </si>
  <si>
    <t>Grail Insights</t>
  </si>
  <si>
    <t>Wunderman Thompson</t>
  </si>
  <si>
    <t>Niscom Tele Infra</t>
  </si>
  <si>
    <t>Annalect</t>
  </si>
  <si>
    <t>GroupM</t>
  </si>
  <si>
    <t>StepOut Solutions</t>
  </si>
  <si>
    <t>Polaris FT</t>
  </si>
  <si>
    <t>Research &amp; Ranking</t>
  </si>
  <si>
    <t>Microtek International (India)</t>
  </si>
  <si>
    <t>Unyscape Infocom</t>
  </si>
  <si>
    <t>Cians Analytics</t>
  </si>
  <si>
    <t>AON</t>
  </si>
  <si>
    <t>Xceedance</t>
  </si>
  <si>
    <t>CBRE</t>
  </si>
  <si>
    <t>Promien Services</t>
  </si>
  <si>
    <t>FN MathLogic Consulting Services</t>
  </si>
  <si>
    <t>Maruti Suzuki</t>
  </si>
  <si>
    <t>Acuity Knowledge Partners</t>
  </si>
  <si>
    <t>Score Me</t>
  </si>
  <si>
    <t>FIA Technology Services</t>
  </si>
  <si>
    <t>Zenatix</t>
  </si>
  <si>
    <t>HH Global</t>
  </si>
  <si>
    <t>NetProphets Cyberworks</t>
  </si>
  <si>
    <t>Cognizant Consulting</t>
  </si>
  <si>
    <t>Willis Towers Watson</t>
  </si>
  <si>
    <t>LIN SCAN</t>
  </si>
  <si>
    <t>Ugam</t>
  </si>
  <si>
    <t>Experian</t>
  </si>
  <si>
    <t>Cogencis Information Services</t>
  </si>
  <si>
    <t>Media.net</t>
  </si>
  <si>
    <t>Hansa Cequity</t>
  </si>
  <si>
    <t>Magic9 Media Analytics</t>
  </si>
  <si>
    <t>Travelex</t>
  </si>
  <si>
    <t>Propellum Infotech</t>
  </si>
  <si>
    <t>Nailbiter</t>
  </si>
  <si>
    <t>GEP</t>
  </si>
  <si>
    <t>AXIS MY INDIA</t>
  </si>
  <si>
    <t>Quantafic Business Solutions</t>
  </si>
  <si>
    <t>IDFC First Bank</t>
  </si>
  <si>
    <t>FieldGlobal Market Research</t>
  </si>
  <si>
    <t>TripStack</t>
  </si>
  <si>
    <t>cross-tab marketing services pvt.</t>
  </si>
  <si>
    <t>FedEx</t>
  </si>
  <si>
    <t>WhiteHat Jr</t>
  </si>
  <si>
    <t>eSense Learning Pvt</t>
  </si>
  <si>
    <t>iAastha</t>
  </si>
  <si>
    <t>Bahar Infotech</t>
  </si>
  <si>
    <t>Bookmyshow</t>
  </si>
  <si>
    <t>Rein Labs</t>
  </si>
  <si>
    <t>Doxper</t>
  </si>
  <si>
    <t>CMC</t>
  </si>
  <si>
    <t>iKen Solutions</t>
  </si>
  <si>
    <t>Motilal Oswal Financial Services</t>
  </si>
  <si>
    <t>TWGE Solutions</t>
  </si>
  <si>
    <t>InSync Analytics</t>
  </si>
  <si>
    <t>JustDial</t>
  </si>
  <si>
    <t>Angel One</t>
  </si>
  <si>
    <t>72 Dragons</t>
  </si>
  <si>
    <t>Jeet Techno Solutions</t>
  </si>
  <si>
    <t>TransUnion</t>
  </si>
  <si>
    <t>SMARTe</t>
  </si>
  <si>
    <t>RedQuanta</t>
  </si>
  <si>
    <t>Raam Group</t>
  </si>
  <si>
    <t>CloudFronts Technologies</t>
  </si>
  <si>
    <t>IIFL</t>
  </si>
  <si>
    <t>Brandscapes Worldwide</t>
  </si>
  <si>
    <t>Candere.com</t>
  </si>
  <si>
    <t>QuantumLink</t>
  </si>
  <si>
    <t>Alpha Alternatives</t>
  </si>
  <si>
    <t>Pragmatix</t>
  </si>
  <si>
    <t>Vasta Global</t>
  </si>
  <si>
    <t>Acuris Global</t>
  </si>
  <si>
    <t>Sapio Analytics</t>
  </si>
  <si>
    <t>Bloomberg L.P.</t>
  </si>
  <si>
    <t>Oceanic Pharmachem</t>
  </si>
  <si>
    <t>FSN Ecommerce Ventures</t>
  </si>
  <si>
    <t>Microworld Technologies</t>
  </si>
  <si>
    <t>Xerago</t>
  </si>
  <si>
    <t>Ingenero</t>
  </si>
  <si>
    <t>Ajay bharti</t>
  </si>
  <si>
    <t>Airpay</t>
  </si>
  <si>
    <t>Rajuri Steels</t>
  </si>
  <si>
    <t>ANSHULTECH</t>
  </si>
  <si>
    <t>Sparks</t>
  </si>
  <si>
    <t>niranjan shah</t>
  </si>
  <si>
    <t>Wellthy Therapeutics</t>
  </si>
  <si>
    <t>Max Fashions</t>
  </si>
  <si>
    <t>20K Group</t>
  </si>
  <si>
    <t>Xtel Communications</t>
  </si>
  <si>
    <t>IRIS Business Services</t>
  </si>
  <si>
    <t>NEC Software Solutions UK</t>
  </si>
  <si>
    <t>Blue Dart Express</t>
  </si>
  <si>
    <t>Fields Data</t>
  </si>
  <si>
    <t>Mira Knitting Works</t>
  </si>
  <si>
    <t>HDFC Securities</t>
  </si>
  <si>
    <t>Greenlight Planet</t>
  </si>
  <si>
    <t>Blue Ocean</t>
  </si>
  <si>
    <t>Edelweiss Tokio Life Insurance</t>
  </si>
  <si>
    <t>Nine A Business Connect</t>
  </si>
  <si>
    <t>Data Engineer</t>
  </si>
  <si>
    <t>Fragma Data Systems</t>
  </si>
  <si>
    <t>Blackbuck Insights</t>
  </si>
  <si>
    <t>phData</t>
  </si>
  <si>
    <t>Futurense Technologies</t>
  </si>
  <si>
    <t>ITTStar Consulting</t>
  </si>
  <si>
    <t>Tribes.AI</t>
  </si>
  <si>
    <t>Sigmoid</t>
  </si>
  <si>
    <t>Indegene</t>
  </si>
  <si>
    <t>GlaxoSmithKline</t>
  </si>
  <si>
    <t>Novotech</t>
  </si>
  <si>
    <t>NIKE</t>
  </si>
  <si>
    <t>AffinityAnswers</t>
  </si>
  <si>
    <t>Luxoft</t>
  </si>
  <si>
    <t>Quaero</t>
  </si>
  <si>
    <t>Brillo Technologies</t>
  </si>
  <si>
    <t>Ecolab Digital Center</t>
  </si>
  <si>
    <t>Goibibo</t>
  </si>
  <si>
    <t>DataWeave</t>
  </si>
  <si>
    <t>HashedIn by Deloitte</t>
  </si>
  <si>
    <t>Razorthink</t>
  </si>
  <si>
    <t>Servian</t>
  </si>
  <si>
    <t>Senvion</t>
  </si>
  <si>
    <t>Koch Industries</t>
  </si>
  <si>
    <t>Kmart</t>
  </si>
  <si>
    <t>Wissen Infotech</t>
  </si>
  <si>
    <t>Fabulyst</t>
  </si>
  <si>
    <t>Cimpress</t>
  </si>
  <si>
    <t>Nabler Web Solutions</t>
  </si>
  <si>
    <t>KreditBee</t>
  </si>
  <si>
    <t>ConcertAI</t>
  </si>
  <si>
    <t>CrowdANALYTIX</t>
  </si>
  <si>
    <t>Daimler</t>
  </si>
  <si>
    <t>Oxigen</t>
  </si>
  <si>
    <t>ALL IT Services</t>
  </si>
  <si>
    <t>GrayMatter Software Services</t>
  </si>
  <si>
    <t>Groupon</t>
  </si>
  <si>
    <t>ecoInsight</t>
  </si>
  <si>
    <t>KNOEMA</t>
  </si>
  <si>
    <t>CTS</t>
  </si>
  <si>
    <t>Wobot</t>
  </si>
  <si>
    <t>iQuanti</t>
  </si>
  <si>
    <t>Eli Lilly and Company</t>
  </si>
  <si>
    <t>Savit Interactive</t>
  </si>
  <si>
    <t>V2soft</t>
  </si>
  <si>
    <t>Mobiotics</t>
  </si>
  <si>
    <t>Quantela</t>
  </si>
  <si>
    <t>Cheeburger Cheeburger</t>
  </si>
  <si>
    <t>Champion InfoMetrics</t>
  </si>
  <si>
    <t>yellow.ai</t>
  </si>
  <si>
    <t>KBC Professional</t>
  </si>
  <si>
    <t>Okkular</t>
  </si>
  <si>
    <t>Logipro Software</t>
  </si>
  <si>
    <t>NeoGrowth Credit</t>
  </si>
  <si>
    <t>Clairvoyant</t>
  </si>
  <si>
    <t>Turtlemint</t>
  </si>
  <si>
    <t>vCreaTek</t>
  </si>
  <si>
    <t>Softech Solutions (India)</t>
  </si>
  <si>
    <t>Neal Analytics</t>
  </si>
  <si>
    <t>Hashmap</t>
  </si>
  <si>
    <t>Atlas Copco</t>
  </si>
  <si>
    <t>Bitwise Solutions (India)</t>
  </si>
  <si>
    <t>NCSA Next College Student Athlete</t>
  </si>
  <si>
    <t>Truso (India)</t>
  </si>
  <si>
    <t>Sakshi Softech</t>
  </si>
  <si>
    <t>Centium Consulting</t>
  </si>
  <si>
    <t>XOYAL</t>
  </si>
  <si>
    <t>CloudCover</t>
  </si>
  <si>
    <t>akash jha</t>
  </si>
  <si>
    <t>MediaAgility</t>
  </si>
  <si>
    <t>UnitForce Technologies Consulting Pvt</t>
  </si>
  <si>
    <t>Avanturian</t>
  </si>
  <si>
    <t>Avegen</t>
  </si>
  <si>
    <t>RONA</t>
  </si>
  <si>
    <t>Zalando</t>
  </si>
  <si>
    <t>Reomnify</t>
  </si>
  <si>
    <t>iLink-Systems</t>
  </si>
  <si>
    <t>FIGmd</t>
  </si>
  <si>
    <t>Provakil Technologies</t>
  </si>
  <si>
    <t>TCS Education</t>
  </si>
  <si>
    <t>R.S. Consultants</t>
  </si>
  <si>
    <t>TomTom</t>
  </si>
  <si>
    <t>BNT SOFT</t>
  </si>
  <si>
    <t>Navyug Infosolutions</t>
  </si>
  <si>
    <t>DC</t>
  </si>
  <si>
    <t>Reflexis Systems</t>
  </si>
  <si>
    <t>Sears IT &amp; Management Services India</t>
  </si>
  <si>
    <t>Smith &amp; Nephew</t>
  </si>
  <si>
    <t>Alphonso Global Solutions</t>
  </si>
  <si>
    <t>Bshshs</t>
  </si>
  <si>
    <t>STL - Sterlite Technologies Limited</t>
  </si>
  <si>
    <t>Centre for Development of Advanced Computing</t>
  </si>
  <si>
    <t>ITVersity</t>
  </si>
  <si>
    <t>We Want Any Car</t>
  </si>
  <si>
    <t>LTI Senior</t>
  </si>
  <si>
    <t>Exadatum Big</t>
  </si>
  <si>
    <t>Datametica Big</t>
  </si>
  <si>
    <t>Tata Consultancy Services Big</t>
  </si>
  <si>
    <t>GATHI ANALYTICS</t>
  </si>
  <si>
    <t>Fanatics</t>
  </si>
  <si>
    <t>SureIT Solutions</t>
  </si>
  <si>
    <t>Nisum</t>
  </si>
  <si>
    <t>ACS Solutions</t>
  </si>
  <si>
    <t>Infor</t>
  </si>
  <si>
    <t>TTEC</t>
  </si>
  <si>
    <t>MarketLinc</t>
  </si>
  <si>
    <t>MAQ Software</t>
  </si>
  <si>
    <t>Predera</t>
  </si>
  <si>
    <t>HealthPointe Solutions</t>
  </si>
  <si>
    <t>IKEA</t>
  </si>
  <si>
    <t>Activa (CA)</t>
  </si>
  <si>
    <t>Reputation</t>
  </si>
  <si>
    <t>PurpleTalk</t>
  </si>
  <si>
    <t>ACD Communications</t>
  </si>
  <si>
    <t>Wehner Multifamily</t>
  </si>
  <si>
    <t>Google Summer of Code</t>
  </si>
  <si>
    <t>archents</t>
  </si>
  <si>
    <t>Wall &amp; Associates</t>
  </si>
  <si>
    <t>Systech International</t>
  </si>
  <si>
    <t>Kagool</t>
  </si>
  <si>
    <t>Hexaware Technologies</t>
  </si>
  <si>
    <t>SID Computer Group</t>
  </si>
  <si>
    <t>ZSoft Technology Service</t>
  </si>
  <si>
    <t>Bullhorn</t>
  </si>
  <si>
    <t>DataFactZ</t>
  </si>
  <si>
    <t>Zenoti</t>
  </si>
  <si>
    <t>UXLI</t>
  </si>
  <si>
    <t>Computer Generated Solutions</t>
  </si>
  <si>
    <t>Gap</t>
  </si>
  <si>
    <t>Amnet Digital</t>
  </si>
  <si>
    <t>DataKare Solutions</t>
  </si>
  <si>
    <t>2COMS</t>
  </si>
  <si>
    <t>EPAM</t>
  </si>
  <si>
    <t>Collins Aerospace</t>
  </si>
  <si>
    <t>Aspion Technologies</t>
  </si>
  <si>
    <t>WE 4 IT Services</t>
  </si>
  <si>
    <t>rvdfgdfvd</t>
  </si>
  <si>
    <t>Ramesh Tondon</t>
  </si>
  <si>
    <t>ServiceNow</t>
  </si>
  <si>
    <t>SAAS Staffing Solutions</t>
  </si>
  <si>
    <t>CoreCompete</t>
  </si>
  <si>
    <t>Dataflix</t>
  </si>
  <si>
    <t>Avnitr</t>
  </si>
  <si>
    <t>Landmark IT Solutions</t>
  </si>
  <si>
    <t>Coforge</t>
  </si>
  <si>
    <t>Lumiq (India)</t>
  </si>
  <si>
    <t>Intelegencia</t>
  </si>
  <si>
    <t>nThrive</t>
  </si>
  <si>
    <t>Skuad</t>
  </si>
  <si>
    <t>Webhelp</t>
  </si>
  <si>
    <t>Atlan</t>
  </si>
  <si>
    <t>Q3 Technologies</t>
  </si>
  <si>
    <t>Maven Wave Partners</t>
  </si>
  <si>
    <t>Guardian Life</t>
  </si>
  <si>
    <t>Busigence Technologies</t>
  </si>
  <si>
    <t>Ankaha</t>
  </si>
  <si>
    <t>CTU</t>
  </si>
  <si>
    <t>PYRO</t>
  </si>
  <si>
    <t>i2e Consulting</t>
  </si>
  <si>
    <t>naidu</t>
  </si>
  <si>
    <t>Capgemini Invent</t>
  </si>
  <si>
    <t>Josh Technology Group</t>
  </si>
  <si>
    <t>Incubit</t>
  </si>
  <si>
    <t>STMicroelectronics</t>
  </si>
  <si>
    <t>PeopleStrong Technologies</t>
  </si>
  <si>
    <t>MothersonSumi INfotech and Designs</t>
  </si>
  <si>
    <t>Connaizen Software</t>
  </si>
  <si>
    <t>NLB Services</t>
  </si>
  <si>
    <t>Bobble Keyboard</t>
  </si>
  <si>
    <t>Beam Suntory</t>
  </si>
  <si>
    <t>Super Highway Labs</t>
  </si>
  <si>
    <t>Yogesh Chandra Pant</t>
  </si>
  <si>
    <t>GNA Serveis Telemàtics</t>
  </si>
  <si>
    <t>ASSAD</t>
  </si>
  <si>
    <t>Konkasoft</t>
  </si>
  <si>
    <t>Boston Scientific</t>
  </si>
  <si>
    <t>Sharda University</t>
  </si>
  <si>
    <t>Goals101</t>
  </si>
  <si>
    <t>Datopic</t>
  </si>
  <si>
    <t>Dew Solutions</t>
  </si>
  <si>
    <t>Northcorp Software</t>
  </si>
  <si>
    <t>None of Your Business Boutique</t>
  </si>
  <si>
    <t>Asian Oilfield Services</t>
  </si>
  <si>
    <t>Sama Technology</t>
  </si>
  <si>
    <t>Srijan Technologies</t>
  </si>
  <si>
    <t>IndiaLends</t>
  </si>
  <si>
    <t>Rackspace Technology</t>
  </si>
  <si>
    <t>Metaswitch</t>
  </si>
  <si>
    <t>Coforge Senior</t>
  </si>
  <si>
    <t>Mactores</t>
  </si>
  <si>
    <t>IFI Techsolutions</t>
  </si>
  <si>
    <t>Testbook.com</t>
  </si>
  <si>
    <t>Enovate Skill</t>
  </si>
  <si>
    <t>DAT Engineering</t>
  </si>
  <si>
    <t>NGDATA</t>
  </si>
  <si>
    <t>AmyGB</t>
  </si>
  <si>
    <t>Cipla</t>
  </si>
  <si>
    <t>Christian College of Engineering &amp; Technology (CCET)</t>
  </si>
  <si>
    <t>TDL</t>
  </si>
  <si>
    <t>Larvol Group</t>
  </si>
  <si>
    <t>American Automobile Association (AAA)</t>
  </si>
  <si>
    <t>Jost Hurler</t>
  </si>
  <si>
    <t>Oneture Technologies</t>
  </si>
  <si>
    <t>Larsen and toubro e engineering solutions</t>
  </si>
  <si>
    <t>Liases Foras</t>
  </si>
  <si>
    <t>Kutumbh Care</t>
  </si>
  <si>
    <t>Daten &amp; Wissen</t>
  </si>
  <si>
    <t>Edwards Lifesciences</t>
  </si>
  <si>
    <t>Exeliq Consulting</t>
  </si>
  <si>
    <t>Veritas Collaborative</t>
  </si>
  <si>
    <t>Celebal Technologies</t>
  </si>
  <si>
    <t>Danpal</t>
  </si>
  <si>
    <t>iPredictt Data Science Labs</t>
  </si>
  <si>
    <t>FRA</t>
  </si>
  <si>
    <t>HHH</t>
  </si>
  <si>
    <t>Ingram Micro</t>
  </si>
  <si>
    <t>Aays Analytics</t>
  </si>
  <si>
    <t>Priceline.com</t>
  </si>
  <si>
    <t>Bizongo</t>
  </si>
  <si>
    <t>Nikhil Analytics</t>
  </si>
  <si>
    <t>Collinson</t>
  </si>
  <si>
    <t>EC-Mobility</t>
  </si>
  <si>
    <t>Muoro</t>
  </si>
  <si>
    <t>Kiara Automotora</t>
  </si>
  <si>
    <t>Seernet Technologies</t>
  </si>
  <si>
    <t>PayNearby</t>
  </si>
  <si>
    <t>Anand Rathi</t>
  </si>
  <si>
    <t>Digihealth</t>
  </si>
  <si>
    <t>Teradata</t>
  </si>
  <si>
    <t>Endurance International Group</t>
  </si>
  <si>
    <t>Craftsvilla.com</t>
  </si>
  <si>
    <t>Quantiphi Senior</t>
  </si>
  <si>
    <t>Fractal Senior</t>
  </si>
  <si>
    <t>Fractal Big</t>
  </si>
  <si>
    <t>Machine Learning Engineer</t>
  </si>
  <si>
    <t>Continental</t>
  </si>
  <si>
    <t>Text Mercato</t>
  </si>
  <si>
    <t>HyperVerge</t>
  </si>
  <si>
    <t>Quale Infotech</t>
  </si>
  <si>
    <t>BlueOptima</t>
  </si>
  <si>
    <t>Qualitas Technologies</t>
  </si>
  <si>
    <t>Graphene (Singapore)</t>
  </si>
  <si>
    <t>Uncanny Vision</t>
  </si>
  <si>
    <t>Openstream</t>
  </si>
  <si>
    <t>Avaamo</t>
  </si>
  <si>
    <t>Lucida Technologies</t>
  </si>
  <si>
    <t>The Alacer Group</t>
  </si>
  <si>
    <t>IceCream Labs</t>
  </si>
  <si>
    <t>Digital Aristotle</t>
  </si>
  <si>
    <t>Chefling</t>
  </si>
  <si>
    <t>Tardid</t>
  </si>
  <si>
    <t>Pixuate</t>
  </si>
  <si>
    <t>Citrix</t>
  </si>
  <si>
    <t>Havells India</t>
  </si>
  <si>
    <t>EVRY India</t>
  </si>
  <si>
    <t>Iron Mountain</t>
  </si>
  <si>
    <t>Impelsys</t>
  </si>
  <si>
    <t>Ecolab</t>
  </si>
  <si>
    <t>Wibmo</t>
  </si>
  <si>
    <t>Imarticus Learning</t>
  </si>
  <si>
    <t>Techolution</t>
  </si>
  <si>
    <t>NiYO</t>
  </si>
  <si>
    <t>Veoneer</t>
  </si>
  <si>
    <t>Smart Joules</t>
  </si>
  <si>
    <t>Diatoz Solutions</t>
  </si>
  <si>
    <t>Faststream Technologies</t>
  </si>
  <si>
    <t>Skit</t>
  </si>
  <si>
    <t>Redeem Systems</t>
  </si>
  <si>
    <t>Gnani.ai</t>
  </si>
  <si>
    <t>Noodle.ai</t>
  </si>
  <si>
    <t>Vitalhunt Global Solutions</t>
  </si>
  <si>
    <t>Bartleby Technologies</t>
  </si>
  <si>
    <t>Turing.com</t>
  </si>
  <si>
    <t>Vahan</t>
  </si>
  <si>
    <t>Betterhalf</t>
  </si>
  <si>
    <t>FullThrottle Labs</t>
  </si>
  <si>
    <t>Careerera</t>
  </si>
  <si>
    <t>Crediwatch</t>
  </si>
  <si>
    <t>Pucho</t>
  </si>
  <si>
    <t>Medibox</t>
  </si>
  <si>
    <t>ThinkTac</t>
  </si>
  <si>
    <t>Cumulations Technologies</t>
  </si>
  <si>
    <t>Kidvento Education &amp; Research</t>
  </si>
  <si>
    <t>SpotDraft</t>
  </si>
  <si>
    <t>Xyram</t>
  </si>
  <si>
    <t>Infilect</t>
  </si>
  <si>
    <t>KoiReader Technologies</t>
  </si>
  <si>
    <t>Interactions</t>
  </si>
  <si>
    <t>Agara Labs</t>
  </si>
  <si>
    <t>Adappt Intelligence</t>
  </si>
  <si>
    <t>Remedico</t>
  </si>
  <si>
    <t>Tequed Labs</t>
  </si>
  <si>
    <t>Skellam AI</t>
  </si>
  <si>
    <t>Hurrey Tech Ventures</t>
  </si>
  <si>
    <t>Colors Software</t>
  </si>
  <si>
    <t>Knowx Innovations</t>
  </si>
  <si>
    <t>Lymbyc</t>
  </si>
  <si>
    <t>Medicento</t>
  </si>
  <si>
    <t>Fliptango</t>
  </si>
  <si>
    <t>Exafluence</t>
  </si>
  <si>
    <t>Kruzr</t>
  </si>
  <si>
    <t>ClearQuote</t>
  </si>
  <si>
    <t>AFFINSYS AI</t>
  </si>
  <si>
    <t>Fanlytiks</t>
  </si>
  <si>
    <t>SteradianSemi</t>
  </si>
  <si>
    <t>Agricx</t>
  </si>
  <si>
    <t>Simple Intelligence</t>
  </si>
  <si>
    <t>Distill</t>
  </si>
  <si>
    <t>Westinghouse Rail Systems</t>
  </si>
  <si>
    <t>Pixxel</t>
  </si>
  <si>
    <t>Cvedia</t>
  </si>
  <si>
    <t>Lexitas</t>
  </si>
  <si>
    <t>Atos</t>
  </si>
  <si>
    <t>Centurysoft</t>
  </si>
  <si>
    <t>Softnautics</t>
  </si>
  <si>
    <t>McKinley &amp; Rice</t>
  </si>
  <si>
    <t>Exa Mobility</t>
  </si>
  <si>
    <t>Neutrino Tech Systems</t>
  </si>
  <si>
    <t>Steinn Labs</t>
  </si>
  <si>
    <t>Scandid</t>
  </si>
  <si>
    <t>Ferromatik Milacron</t>
  </si>
  <si>
    <t>Danalitic</t>
  </si>
  <si>
    <t>Facex</t>
  </si>
  <si>
    <t>Collotech</t>
  </si>
  <si>
    <t>Quadridge Technologies</t>
  </si>
  <si>
    <t>Aikon Labs</t>
  </si>
  <si>
    <t>Quidich Innovation Labs</t>
  </si>
  <si>
    <t>Rahul Marian</t>
  </si>
  <si>
    <t>Aikon Technologies</t>
  </si>
  <si>
    <t>Persistent Systems Senior</t>
  </si>
  <si>
    <t>Intercontinental Exchange Senior</t>
  </si>
  <si>
    <t>ICE Mortgage Technology Senior</t>
  </si>
  <si>
    <t>Winfostar Technology Senior</t>
  </si>
  <si>
    <t>PwC Machine Learning</t>
  </si>
  <si>
    <t>Analyticscosm Machine Learning</t>
  </si>
  <si>
    <t>Machine Learning Software Engineer</t>
  </si>
  <si>
    <t>iNeuron Junior</t>
  </si>
  <si>
    <t>Software Engineer - Machine Learning</t>
  </si>
  <si>
    <t>Machine Learning Engineer/Data Scientist</t>
  </si>
  <si>
    <t>First Student Data Scientist</t>
  </si>
  <si>
    <t>Extend Future</t>
  </si>
  <si>
    <t>Machine Learning Consultant</t>
  </si>
  <si>
    <t>FactSet</t>
  </si>
  <si>
    <t>AppliedAICourse</t>
  </si>
  <si>
    <t>DeepEdge</t>
  </si>
  <si>
    <t>Aviso</t>
  </si>
  <si>
    <t>CognitiveScale</t>
  </si>
  <si>
    <t>Quixy</t>
  </si>
  <si>
    <t>Avantari Technologies</t>
  </si>
  <si>
    <t>Vrinda Techapps</t>
  </si>
  <si>
    <t>BITS</t>
  </si>
  <si>
    <t>Pavan</t>
  </si>
  <si>
    <t>MTX Group</t>
  </si>
  <si>
    <t>Monocept</t>
  </si>
  <si>
    <t>Jocata</t>
  </si>
  <si>
    <t>mroads</t>
  </si>
  <si>
    <t>Globex Digital Solutions</t>
  </si>
  <si>
    <t>InfoLogitech</t>
  </si>
  <si>
    <t>Compass</t>
  </si>
  <si>
    <t>Meeami Technologies</t>
  </si>
  <si>
    <t>XYZ Innovations</t>
  </si>
  <si>
    <t>SmartCow</t>
  </si>
  <si>
    <t>Sysark</t>
  </si>
  <si>
    <t>Metagogy Learning Systems</t>
  </si>
  <si>
    <t>ESK Technologies</t>
  </si>
  <si>
    <t>NumberMall</t>
  </si>
  <si>
    <t>Machine Learning</t>
  </si>
  <si>
    <t>Elite Unified Krips Consultants</t>
  </si>
  <si>
    <t>Payzello</t>
  </si>
  <si>
    <t>DigiQ Solutions</t>
  </si>
  <si>
    <t>Control Structures</t>
  </si>
  <si>
    <t>Resource Technologies</t>
  </si>
  <si>
    <t>Battu Mohit</t>
  </si>
  <si>
    <t>Ascentia.ai Solutions</t>
  </si>
  <si>
    <t>Aditi Software</t>
  </si>
  <si>
    <t>Mindboard</t>
  </si>
  <si>
    <t>Altius Equipments</t>
  </si>
  <si>
    <t>Govindarajan</t>
  </si>
  <si>
    <t>BizReach</t>
  </si>
  <si>
    <t>Machine Learning Data Associate</t>
  </si>
  <si>
    <t>Machine Learning Data Associate I</t>
  </si>
  <si>
    <t>Machine Learning Associate</t>
  </si>
  <si>
    <t>Machine Learning Data Associate II</t>
  </si>
  <si>
    <t>Associate Machine Learning Engineer</t>
  </si>
  <si>
    <t>Machine Learning Data Analyst</t>
  </si>
  <si>
    <t>Senior Machine Learning Engineer</t>
  </si>
  <si>
    <t>Snap2Insight</t>
  </si>
  <si>
    <t>SAI Life Sciences</t>
  </si>
  <si>
    <t>Enixta Innovations</t>
  </si>
  <si>
    <t>Code Karo Yaaro</t>
  </si>
  <si>
    <t>Azure Skynet</t>
  </si>
  <si>
    <t>Fusion Tech Process</t>
  </si>
  <si>
    <t>Monsoon (India)</t>
  </si>
  <si>
    <t>Samsung R&amp;D Institute India - Noida</t>
  </si>
  <si>
    <t>wayForward</t>
  </si>
  <si>
    <t>Navia Life Care</t>
  </si>
  <si>
    <t>NewSpace Research and Technologies</t>
  </si>
  <si>
    <t>RMgX</t>
  </si>
  <si>
    <t>Mesh (CA)</t>
  </si>
  <si>
    <t>Kwantics</t>
  </si>
  <si>
    <t>FIS</t>
  </si>
  <si>
    <t>IIT Delhi</t>
  </si>
  <si>
    <t>Daffodil Software</t>
  </si>
  <si>
    <t>Gemini Solutions</t>
  </si>
  <si>
    <t>Proptiger</t>
  </si>
  <si>
    <t>GeeksForGeeks</t>
  </si>
  <si>
    <t>Mobile Programming</t>
  </si>
  <si>
    <t>Mobility Quest</t>
  </si>
  <si>
    <t>Hike</t>
  </si>
  <si>
    <t>Innodata</t>
  </si>
  <si>
    <t>DreamOrbit Softech</t>
  </si>
  <si>
    <t>InfinityLabs</t>
  </si>
  <si>
    <t>Saviance Technologies</t>
  </si>
  <si>
    <t>Blue Umbrella</t>
  </si>
  <si>
    <t>Isourse Technologies</t>
  </si>
  <si>
    <t>Liberin Technologies</t>
  </si>
  <si>
    <t>MyWays</t>
  </si>
  <si>
    <t>Machani Group</t>
  </si>
  <si>
    <t>NimbusHire</t>
  </si>
  <si>
    <t>ArStudioz</t>
  </si>
  <si>
    <t>Mechademy Engineering Solutions</t>
  </si>
  <si>
    <t>Innovians Technologies</t>
  </si>
  <si>
    <t>Sarvvid-AI</t>
  </si>
  <si>
    <t>Nerd Geek Lab</t>
  </si>
  <si>
    <t>Hyber IT Services</t>
  </si>
  <si>
    <t>ManKiBaat</t>
  </si>
  <si>
    <t>Vizrt</t>
  </si>
  <si>
    <t>Nidhi Hospital</t>
  </si>
  <si>
    <t>Musixspace</t>
  </si>
  <si>
    <t>Hackdev Technology</t>
  </si>
  <si>
    <t>Internity Foundation</t>
  </si>
  <si>
    <t>inVOID Senior</t>
  </si>
  <si>
    <t>Aureus Analytics</t>
  </si>
  <si>
    <t>Fynd</t>
  </si>
  <si>
    <t>Cere Labs</t>
  </si>
  <si>
    <t>Biosense Technologies</t>
  </si>
  <si>
    <t>Powerweave</t>
  </si>
  <si>
    <t>Anonymous</t>
  </si>
  <si>
    <t>Idfy</t>
  </si>
  <si>
    <t>BridgeLabz Solutions</t>
  </si>
  <si>
    <t>Karza Technologies</t>
  </si>
  <si>
    <t>Markelytics Solutions</t>
  </si>
  <si>
    <t>Prashanth Projects</t>
  </si>
  <si>
    <t>Paramount Health Services(TPA) Pvt.</t>
  </si>
  <si>
    <t>Direction Software Solutions</t>
  </si>
  <si>
    <t>iSchoolConnect</t>
  </si>
  <si>
    <t>The MediaHolic</t>
  </si>
  <si>
    <t>theAsianparent</t>
  </si>
  <si>
    <t>itvedant</t>
  </si>
  <si>
    <t>AB Innovative Software</t>
  </si>
  <si>
    <t>Drishti Tech</t>
  </si>
  <si>
    <t>Tvarit</t>
  </si>
  <si>
    <t>Priyanshu Plastic</t>
  </si>
  <si>
    <t>Diycam</t>
  </si>
  <si>
    <t>var</t>
  </si>
  <si>
    <t>JMoon Technologies</t>
  </si>
  <si>
    <t>difference-engine.ai</t>
  </si>
  <si>
    <t>df</t>
  </si>
  <si>
    <t>Club 24</t>
  </si>
  <si>
    <t>Mirrag</t>
  </si>
  <si>
    <t>Haptik</t>
  </si>
  <si>
    <t>Crimson Interactive</t>
  </si>
  <si>
    <t>Indian Institute of Technology Bombay</t>
  </si>
  <si>
    <t>Growel Group</t>
  </si>
  <si>
    <t>Success R Hrtech</t>
  </si>
  <si>
    <t>Internship Studio</t>
  </si>
  <si>
    <t>Knowledge Solutions India</t>
  </si>
  <si>
    <t>Zipgigz</t>
  </si>
  <si>
    <t>SCI</t>
  </si>
  <si>
    <t>Myraa Technologies</t>
  </si>
  <si>
    <t>Machine Learning Scientist</t>
  </si>
  <si>
    <t>TaiyōAI</t>
  </si>
  <si>
    <t>Machine Learning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</si>
</sst>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rgb="FF000000"/>
      <name val="Roboto"/>
    </font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oppr.com" TargetMode="External"/><Relationship Id="rId22" Type="http://schemas.openxmlformats.org/officeDocument/2006/relationships/hyperlink" Target="http://anytimeloan.in" TargetMode="External"/><Relationship Id="rId21" Type="http://schemas.openxmlformats.org/officeDocument/2006/relationships/hyperlink" Target="http://udaan.com" TargetMode="External"/><Relationship Id="rId24" Type="http://schemas.openxmlformats.org/officeDocument/2006/relationships/hyperlink" Target="http://media.net" TargetMode="External"/><Relationship Id="rId23" Type="http://schemas.openxmlformats.org/officeDocument/2006/relationships/hyperlink" Target="http://better.com" TargetMode="External"/><Relationship Id="rId1" Type="http://schemas.openxmlformats.org/officeDocument/2006/relationships/hyperlink" Target="http://polynomial.ai" TargetMode="External"/><Relationship Id="rId2" Type="http://schemas.openxmlformats.org/officeDocument/2006/relationships/hyperlink" Target="http://freshers.com" TargetMode="External"/><Relationship Id="rId3" Type="http://schemas.openxmlformats.org/officeDocument/2006/relationships/hyperlink" Target="http://algo8.ai" TargetMode="External"/><Relationship Id="rId4" Type="http://schemas.openxmlformats.org/officeDocument/2006/relationships/hyperlink" Target="http://fellowship.ai" TargetMode="External"/><Relationship Id="rId9" Type="http://schemas.openxmlformats.org/officeDocument/2006/relationships/hyperlink" Target="http://pion.ai" TargetMode="External"/><Relationship Id="rId26" Type="http://schemas.openxmlformats.org/officeDocument/2006/relationships/hyperlink" Target="http://candere.com" TargetMode="External"/><Relationship Id="rId25" Type="http://schemas.openxmlformats.org/officeDocument/2006/relationships/hyperlink" Target="http://fresherworld.com" TargetMode="External"/><Relationship Id="rId28" Type="http://schemas.openxmlformats.org/officeDocument/2006/relationships/hyperlink" Target="http://yellow.ai" TargetMode="External"/><Relationship Id="rId27" Type="http://schemas.openxmlformats.org/officeDocument/2006/relationships/hyperlink" Target="http://tribes.ai" TargetMode="External"/><Relationship Id="rId5" Type="http://schemas.openxmlformats.org/officeDocument/2006/relationships/hyperlink" Target="http://fresherworld.com" TargetMode="External"/><Relationship Id="rId6" Type="http://schemas.openxmlformats.org/officeDocument/2006/relationships/hyperlink" Target="http://quilt.ai" TargetMode="External"/><Relationship Id="rId29" Type="http://schemas.openxmlformats.org/officeDocument/2006/relationships/hyperlink" Target="http://fresherworld.com" TargetMode="External"/><Relationship Id="rId7" Type="http://schemas.openxmlformats.org/officeDocument/2006/relationships/hyperlink" Target="http://admit.me" TargetMode="External"/><Relationship Id="rId8" Type="http://schemas.openxmlformats.org/officeDocument/2006/relationships/hyperlink" Target="http://fresherworld.com" TargetMode="External"/><Relationship Id="rId31" Type="http://schemas.openxmlformats.org/officeDocument/2006/relationships/hyperlink" Target="http://priceline.com" TargetMode="External"/><Relationship Id="rId30" Type="http://schemas.openxmlformats.org/officeDocument/2006/relationships/hyperlink" Target="http://testbook.com" TargetMode="External"/><Relationship Id="rId11" Type="http://schemas.openxmlformats.org/officeDocument/2006/relationships/hyperlink" Target="http://earlysalary.com" TargetMode="External"/><Relationship Id="rId33" Type="http://schemas.openxmlformats.org/officeDocument/2006/relationships/hyperlink" Target="http://gnani.ai" TargetMode="External"/><Relationship Id="rId10" Type="http://schemas.openxmlformats.org/officeDocument/2006/relationships/hyperlink" Target="http://advids.co" TargetMode="External"/><Relationship Id="rId32" Type="http://schemas.openxmlformats.org/officeDocument/2006/relationships/hyperlink" Target="http://craftsvilla.com" TargetMode="External"/><Relationship Id="rId13" Type="http://schemas.openxmlformats.org/officeDocument/2006/relationships/hyperlink" Target="http://earlysalary.com" TargetMode="External"/><Relationship Id="rId35" Type="http://schemas.openxmlformats.org/officeDocument/2006/relationships/hyperlink" Target="http://turing.com" TargetMode="External"/><Relationship Id="rId12" Type="http://schemas.openxmlformats.org/officeDocument/2006/relationships/hyperlink" Target="http://onlinesales.ai" TargetMode="External"/><Relationship Id="rId34" Type="http://schemas.openxmlformats.org/officeDocument/2006/relationships/hyperlink" Target="http://noodle.ai" TargetMode="External"/><Relationship Id="rId15" Type="http://schemas.openxmlformats.org/officeDocument/2006/relationships/hyperlink" Target="http://cars24.com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://toppr.com" TargetMode="External"/><Relationship Id="rId36" Type="http://schemas.openxmlformats.org/officeDocument/2006/relationships/hyperlink" Target="http://difference-engine.ai" TargetMode="External"/><Relationship Id="rId17" Type="http://schemas.openxmlformats.org/officeDocument/2006/relationships/hyperlink" Target="http://housing.com" TargetMode="External"/><Relationship Id="rId16" Type="http://schemas.openxmlformats.org/officeDocument/2006/relationships/hyperlink" Target="http://algo8.ai" TargetMode="External"/><Relationship Id="rId19" Type="http://schemas.openxmlformats.org/officeDocument/2006/relationships/hyperlink" Target="http://arya.ai" TargetMode="External"/><Relationship Id="rId18" Type="http://schemas.openxmlformats.org/officeDocument/2006/relationships/hyperlink" Target="http://housing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 t="s">
        <v>5</v>
      </c>
      <c r="C2" s="1" t="s">
        <v>6</v>
      </c>
      <c r="D2" s="1">
        <v>105.0</v>
      </c>
      <c r="E2" s="1" t="s">
        <v>7</v>
      </c>
      <c r="F2" s="1">
        <v>648573.0</v>
      </c>
    </row>
    <row r="3">
      <c r="A3" s="1">
        <v>1.0</v>
      </c>
      <c r="B3" s="1" t="s">
        <v>8</v>
      </c>
      <c r="C3" s="1" t="s">
        <v>6</v>
      </c>
      <c r="D3" s="1">
        <v>95.0</v>
      </c>
      <c r="E3" s="1" t="s">
        <v>7</v>
      </c>
      <c r="F3" s="1">
        <v>1191950.0</v>
      </c>
    </row>
    <row r="4">
      <c r="A4" s="1">
        <v>2.0</v>
      </c>
      <c r="B4" s="1" t="s">
        <v>9</v>
      </c>
      <c r="C4" s="1" t="s">
        <v>6</v>
      </c>
      <c r="D4" s="1">
        <v>66.0</v>
      </c>
      <c r="E4" s="1" t="s">
        <v>7</v>
      </c>
      <c r="F4" s="1">
        <v>836874.0</v>
      </c>
    </row>
    <row r="5">
      <c r="A5" s="1">
        <v>3.0</v>
      </c>
      <c r="B5" s="1" t="s">
        <v>10</v>
      </c>
      <c r="C5" s="1" t="s">
        <v>6</v>
      </c>
      <c r="D5" s="1">
        <v>40.0</v>
      </c>
      <c r="E5" s="1" t="s">
        <v>7</v>
      </c>
      <c r="F5" s="1">
        <v>669578.0</v>
      </c>
    </row>
    <row r="6">
      <c r="A6" s="1">
        <v>4.0</v>
      </c>
      <c r="B6" s="1" t="s">
        <v>11</v>
      </c>
      <c r="C6" s="1" t="s">
        <v>6</v>
      </c>
      <c r="D6" s="1">
        <v>32.0</v>
      </c>
      <c r="E6" s="1" t="s">
        <v>7</v>
      </c>
      <c r="F6" s="1">
        <v>944110.0</v>
      </c>
    </row>
    <row r="7">
      <c r="A7" s="1">
        <v>5.0</v>
      </c>
      <c r="B7" s="1" t="s">
        <v>12</v>
      </c>
      <c r="C7" s="1" t="s">
        <v>6</v>
      </c>
      <c r="D7" s="1">
        <v>30.0</v>
      </c>
      <c r="E7" s="1" t="s">
        <v>7</v>
      </c>
      <c r="F7" s="1">
        <v>908764.0</v>
      </c>
      <c r="H7" s="1" t="s">
        <v>13</v>
      </c>
      <c r="I7" s="2">
        <v>705942.6014</v>
      </c>
    </row>
    <row r="8">
      <c r="A8" s="1">
        <v>6.0</v>
      </c>
      <c r="B8" s="1" t="s">
        <v>14</v>
      </c>
      <c r="C8" s="1" t="s">
        <v>6</v>
      </c>
      <c r="D8" s="1">
        <v>28.0</v>
      </c>
      <c r="E8" s="1" t="s">
        <v>7</v>
      </c>
      <c r="F8" s="1">
        <v>926124.0</v>
      </c>
      <c r="H8" s="1" t="s">
        <v>15</v>
      </c>
      <c r="I8" s="3">
        <f>VAR(Salary!F2:F2897)</f>
        <v>706087367126</v>
      </c>
    </row>
    <row r="9">
      <c r="A9" s="1">
        <v>7.0</v>
      </c>
      <c r="B9" s="1" t="s">
        <v>16</v>
      </c>
      <c r="C9" s="1" t="s">
        <v>6</v>
      </c>
      <c r="D9" s="1">
        <v>26.0</v>
      </c>
      <c r="E9" s="1" t="s">
        <v>7</v>
      </c>
      <c r="F9" s="1">
        <v>736708.0</v>
      </c>
      <c r="H9" s="1" t="s">
        <v>17</v>
      </c>
      <c r="I9" s="2">
        <v>840290.0494</v>
      </c>
    </row>
    <row r="10">
      <c r="A10" s="1">
        <v>8.0</v>
      </c>
      <c r="B10" s="1" t="s">
        <v>18</v>
      </c>
      <c r="C10" s="1" t="s">
        <v>6</v>
      </c>
      <c r="D10" s="1">
        <v>25.0</v>
      </c>
      <c r="E10" s="1" t="s">
        <v>7</v>
      </c>
      <c r="F10" s="1">
        <v>1646721.0</v>
      </c>
      <c r="H10" s="1" t="s">
        <v>19</v>
      </c>
      <c r="I10" s="3">
        <f>1/I7</f>
        <v>0.000001416545762</v>
      </c>
    </row>
    <row r="11">
      <c r="A11" s="1">
        <v>9.0</v>
      </c>
      <c r="B11" s="1" t="s">
        <v>20</v>
      </c>
      <c r="C11" s="1" t="s">
        <v>6</v>
      </c>
      <c r="D11" s="1">
        <v>22.0</v>
      </c>
      <c r="E11" s="1" t="s">
        <v>7</v>
      </c>
      <c r="F11" s="1">
        <v>1392960.0</v>
      </c>
    </row>
    <row r="12">
      <c r="A12" s="1">
        <v>10.0</v>
      </c>
      <c r="B12" s="1" t="s">
        <v>21</v>
      </c>
      <c r="C12" s="1" t="s">
        <v>6</v>
      </c>
      <c r="D12" s="1">
        <v>20.0</v>
      </c>
      <c r="E12" s="1" t="s">
        <v>7</v>
      </c>
      <c r="F12" s="1">
        <v>1404773.0</v>
      </c>
      <c r="H12" s="4" t="s">
        <v>22</v>
      </c>
      <c r="I12" s="3">
        <f>NORMDIST(100000,I7,I9,True)</f>
        <v>0.2354205373</v>
      </c>
    </row>
    <row r="13">
      <c r="A13" s="1">
        <v>11.0</v>
      </c>
      <c r="B13" s="1" t="s">
        <v>23</v>
      </c>
      <c r="C13" s="1" t="s">
        <v>6</v>
      </c>
      <c r="D13" s="1">
        <v>18.0</v>
      </c>
      <c r="E13" s="1" t="s">
        <v>7</v>
      </c>
      <c r="F13" s="1">
        <v>2557843.0</v>
      </c>
      <c r="H13" s="4" t="s">
        <v>24</v>
      </c>
      <c r="I13" s="3">
        <f>NORMDIST(500000,I7,I9,True)</f>
        <v>0.4031952557</v>
      </c>
    </row>
    <row r="14">
      <c r="A14" s="1">
        <v>12.0</v>
      </c>
      <c r="B14" s="1" t="s">
        <v>25</v>
      </c>
      <c r="C14" s="1" t="s">
        <v>6</v>
      </c>
      <c r="D14" s="1">
        <v>16.0</v>
      </c>
      <c r="E14" s="1" t="s">
        <v>7</v>
      </c>
      <c r="F14" s="1">
        <v>1510081.0</v>
      </c>
      <c r="H14" s="4" t="s">
        <v>26</v>
      </c>
      <c r="I14" s="3">
        <f>NORMDIST(1000000,I7,I9,True)</f>
        <v>0.6368109493</v>
      </c>
    </row>
    <row r="15">
      <c r="A15" s="1">
        <v>13.0</v>
      </c>
      <c r="B15" s="1" t="s">
        <v>27</v>
      </c>
      <c r="C15" s="1" t="s">
        <v>6</v>
      </c>
      <c r="D15" s="1">
        <v>15.0</v>
      </c>
      <c r="E15" s="1" t="s">
        <v>7</v>
      </c>
      <c r="F15" s="1">
        <v>732821.0</v>
      </c>
      <c r="H15" s="4" t="s">
        <v>28</v>
      </c>
      <c r="I15" s="3">
        <f>_xlfn.NORM.DIST(2000000,I7,I9,True)</f>
        <v>0.9382213785</v>
      </c>
    </row>
    <row r="16">
      <c r="A16" s="1">
        <v>14.0</v>
      </c>
      <c r="B16" s="1" t="s">
        <v>29</v>
      </c>
      <c r="C16" s="1" t="s">
        <v>6</v>
      </c>
      <c r="D16" s="1">
        <v>14.0</v>
      </c>
      <c r="E16" s="1" t="s">
        <v>7</v>
      </c>
      <c r="F16" s="1">
        <v>1124939.0</v>
      </c>
      <c r="H16" s="4" t="s">
        <v>30</v>
      </c>
      <c r="I16" s="3">
        <f>NORMDIST(3000000,I7,I9,True)</f>
        <v>0.9968340331</v>
      </c>
    </row>
    <row r="17">
      <c r="A17" s="1">
        <v>15.0</v>
      </c>
      <c r="B17" s="1" t="s">
        <v>31</v>
      </c>
      <c r="C17" s="1" t="s">
        <v>6</v>
      </c>
      <c r="D17" s="1">
        <v>14.0</v>
      </c>
      <c r="E17" s="1" t="s">
        <v>7</v>
      </c>
      <c r="F17" s="1">
        <v>1630396.0</v>
      </c>
      <c r="H17" s="4" t="s">
        <v>32</v>
      </c>
      <c r="I17" s="3">
        <f>NORMDIST(4000000,I7,I9,True)</f>
        <v>0.9999557518</v>
      </c>
    </row>
    <row r="18">
      <c r="A18" s="1">
        <v>16.0</v>
      </c>
      <c r="B18" s="1" t="s">
        <v>33</v>
      </c>
      <c r="C18" s="1" t="s">
        <v>6</v>
      </c>
      <c r="D18" s="1">
        <v>14.0</v>
      </c>
      <c r="E18" s="1" t="s">
        <v>7</v>
      </c>
      <c r="F18" s="1">
        <v>550980.0</v>
      </c>
      <c r="H18" s="4" t="s">
        <v>34</v>
      </c>
      <c r="I18" s="3">
        <f>NORMDIST(5000000,I7,I9,True)</f>
        <v>0.9999998391</v>
      </c>
    </row>
    <row r="19">
      <c r="A19" s="1">
        <v>17.0</v>
      </c>
      <c r="B19" s="1" t="s">
        <v>35</v>
      </c>
      <c r="C19" s="1" t="s">
        <v>6</v>
      </c>
      <c r="D19" s="1">
        <v>13.0</v>
      </c>
      <c r="E19" s="1" t="s">
        <v>7</v>
      </c>
      <c r="F19" s="1">
        <v>1870000.0</v>
      </c>
      <c r="H19" s="4"/>
    </row>
    <row r="20">
      <c r="A20" s="1">
        <v>18.0</v>
      </c>
      <c r="B20" s="1" t="s">
        <v>36</v>
      </c>
      <c r="C20" s="1" t="s">
        <v>6</v>
      </c>
      <c r="D20" s="1">
        <v>13.0</v>
      </c>
      <c r="E20" s="1" t="s">
        <v>7</v>
      </c>
      <c r="F20" s="1">
        <v>758376.0</v>
      </c>
      <c r="H20" s="4"/>
    </row>
    <row r="21">
      <c r="A21" s="1">
        <v>19.0</v>
      </c>
      <c r="B21" s="1" t="s">
        <v>37</v>
      </c>
      <c r="C21" s="1" t="s">
        <v>6</v>
      </c>
      <c r="D21" s="1">
        <v>13.0</v>
      </c>
      <c r="E21" s="1" t="s">
        <v>7</v>
      </c>
      <c r="F21" s="1">
        <v>1556575.0</v>
      </c>
      <c r="H21" s="4"/>
    </row>
    <row r="22">
      <c r="A22" s="1">
        <v>20.0</v>
      </c>
      <c r="B22" s="1" t="s">
        <v>38</v>
      </c>
      <c r="C22" s="1" t="s">
        <v>6</v>
      </c>
      <c r="D22" s="1">
        <v>12.0</v>
      </c>
      <c r="E22" s="1" t="s">
        <v>7</v>
      </c>
      <c r="F22" s="1">
        <v>1194327.0</v>
      </c>
    </row>
    <row r="23">
      <c r="A23" s="1">
        <v>21.0</v>
      </c>
      <c r="B23" s="1" t="s">
        <v>39</v>
      </c>
      <c r="C23" s="1" t="s">
        <v>6</v>
      </c>
      <c r="D23" s="1">
        <v>11.0</v>
      </c>
      <c r="E23" s="1" t="s">
        <v>7</v>
      </c>
      <c r="F23" s="1">
        <v>1470000.0</v>
      </c>
    </row>
    <row r="24">
      <c r="A24" s="1">
        <v>22.0</v>
      </c>
      <c r="B24" s="1" t="s">
        <v>40</v>
      </c>
      <c r="C24" s="1" t="s">
        <v>6</v>
      </c>
      <c r="D24" s="1">
        <v>10.0</v>
      </c>
      <c r="E24" s="1" t="s">
        <v>7</v>
      </c>
      <c r="F24" s="1">
        <v>1549942.0</v>
      </c>
    </row>
    <row r="25">
      <c r="A25" s="1">
        <v>23.0</v>
      </c>
      <c r="B25" s="1" t="s">
        <v>41</v>
      </c>
      <c r="C25" s="1" t="s">
        <v>6</v>
      </c>
      <c r="D25" s="1">
        <v>9.0</v>
      </c>
      <c r="E25" s="1" t="s">
        <v>7</v>
      </c>
      <c r="F25" s="1">
        <v>1541572.0</v>
      </c>
    </row>
    <row r="26">
      <c r="A26" s="1">
        <v>24.0</v>
      </c>
      <c r="B26" s="1" t="s">
        <v>42</v>
      </c>
      <c r="C26" s="1" t="s">
        <v>6</v>
      </c>
      <c r="D26" s="1">
        <v>9.0</v>
      </c>
      <c r="E26" s="1" t="s">
        <v>7</v>
      </c>
      <c r="F26" s="1">
        <v>205.0</v>
      </c>
    </row>
    <row r="27">
      <c r="A27" s="1">
        <v>25.0</v>
      </c>
      <c r="B27" s="1" t="s">
        <v>43</v>
      </c>
      <c r="C27" s="1" t="s">
        <v>6</v>
      </c>
      <c r="D27" s="1">
        <v>9.0</v>
      </c>
      <c r="E27" s="1" t="s">
        <v>7</v>
      </c>
      <c r="F27" s="1">
        <v>27.0</v>
      </c>
    </row>
    <row r="28">
      <c r="A28" s="1">
        <v>26.0</v>
      </c>
      <c r="B28" s="1" t="s">
        <v>44</v>
      </c>
      <c r="C28" s="1" t="s">
        <v>6</v>
      </c>
      <c r="D28" s="1">
        <v>9.0</v>
      </c>
      <c r="E28" s="1" t="s">
        <v>7</v>
      </c>
      <c r="F28" s="1">
        <v>1923257.0</v>
      </c>
    </row>
    <row r="29">
      <c r="A29" s="1">
        <v>27.0</v>
      </c>
      <c r="B29" s="1" t="s">
        <v>45</v>
      </c>
      <c r="C29" s="1" t="s">
        <v>6</v>
      </c>
      <c r="D29" s="1">
        <v>9.0</v>
      </c>
      <c r="E29" s="1" t="s">
        <v>7</v>
      </c>
      <c r="F29" s="1">
        <v>2143501.0</v>
      </c>
    </row>
    <row r="30">
      <c r="A30" s="1">
        <v>28.0</v>
      </c>
      <c r="B30" s="1" t="s">
        <v>46</v>
      </c>
      <c r="C30" s="1" t="s">
        <v>6</v>
      </c>
      <c r="D30" s="1">
        <v>9.0</v>
      </c>
      <c r="E30" s="1" t="s">
        <v>7</v>
      </c>
      <c r="F30" s="1">
        <v>926.0</v>
      </c>
    </row>
    <row r="31">
      <c r="A31" s="1">
        <v>29.0</v>
      </c>
      <c r="B31" s="1" t="s">
        <v>47</v>
      </c>
      <c r="C31" s="1" t="s">
        <v>6</v>
      </c>
      <c r="D31" s="1">
        <v>8.0</v>
      </c>
      <c r="E31" s="1" t="s">
        <v>7</v>
      </c>
      <c r="F31" s="1">
        <v>1294984.0</v>
      </c>
    </row>
    <row r="32">
      <c r="A32" s="1">
        <v>30.0</v>
      </c>
      <c r="B32" s="1" t="s">
        <v>48</v>
      </c>
      <c r="C32" s="1" t="s">
        <v>6</v>
      </c>
      <c r="D32" s="1">
        <v>8.0</v>
      </c>
      <c r="E32" s="1" t="s">
        <v>7</v>
      </c>
      <c r="F32" s="1">
        <v>2334960.0</v>
      </c>
    </row>
    <row r="33">
      <c r="A33" s="1">
        <v>31.0</v>
      </c>
      <c r="B33" s="1" t="s">
        <v>49</v>
      </c>
      <c r="C33" s="1" t="s">
        <v>6</v>
      </c>
      <c r="D33" s="1">
        <v>8.0</v>
      </c>
      <c r="E33" s="1" t="s">
        <v>7</v>
      </c>
      <c r="F33" s="1">
        <v>2267616.0</v>
      </c>
    </row>
    <row r="34">
      <c r="A34" s="1">
        <v>32.0</v>
      </c>
      <c r="B34" s="1" t="s">
        <v>50</v>
      </c>
      <c r="C34" s="1" t="s">
        <v>6</v>
      </c>
      <c r="D34" s="1">
        <v>8.0</v>
      </c>
      <c r="E34" s="1" t="s">
        <v>7</v>
      </c>
      <c r="F34" s="1">
        <v>1366992.0</v>
      </c>
    </row>
    <row r="35">
      <c r="A35" s="1">
        <v>33.0</v>
      </c>
      <c r="B35" s="1" t="s">
        <v>51</v>
      </c>
      <c r="C35" s="1" t="s">
        <v>6</v>
      </c>
      <c r="D35" s="1">
        <v>8.0</v>
      </c>
      <c r="E35" s="1" t="s">
        <v>7</v>
      </c>
      <c r="F35" s="1">
        <v>1453427.0</v>
      </c>
    </row>
    <row r="36">
      <c r="A36" s="1">
        <v>34.0</v>
      </c>
      <c r="B36" s="1" t="s">
        <v>52</v>
      </c>
      <c r="C36" s="1" t="s">
        <v>6</v>
      </c>
      <c r="D36" s="1">
        <v>8.0</v>
      </c>
      <c r="E36" s="1" t="s">
        <v>7</v>
      </c>
      <c r="F36" s="1">
        <v>1458032.0</v>
      </c>
    </row>
    <row r="37">
      <c r="A37" s="1">
        <v>35.0</v>
      </c>
      <c r="B37" s="1" t="s">
        <v>53</v>
      </c>
      <c r="C37" s="1" t="s">
        <v>6</v>
      </c>
      <c r="D37" s="1">
        <v>8.0</v>
      </c>
      <c r="E37" s="1" t="s">
        <v>7</v>
      </c>
      <c r="F37" s="1">
        <v>1730166.0</v>
      </c>
    </row>
    <row r="38">
      <c r="A38" s="1">
        <v>36.0</v>
      </c>
      <c r="B38" s="1" t="s">
        <v>54</v>
      </c>
      <c r="C38" s="1" t="s">
        <v>6</v>
      </c>
      <c r="D38" s="1">
        <v>8.0</v>
      </c>
      <c r="E38" s="1" t="s">
        <v>7</v>
      </c>
      <c r="F38" s="1">
        <v>658109.0</v>
      </c>
    </row>
    <row r="39">
      <c r="A39" s="1">
        <v>37.0</v>
      </c>
      <c r="B39" s="1" t="s">
        <v>55</v>
      </c>
      <c r="C39" s="1" t="s">
        <v>6</v>
      </c>
      <c r="D39" s="1">
        <v>8.0</v>
      </c>
      <c r="E39" s="1" t="s">
        <v>7</v>
      </c>
      <c r="F39" s="1">
        <v>794460.0</v>
      </c>
    </row>
    <row r="40">
      <c r="A40" s="1">
        <v>38.0</v>
      </c>
      <c r="B40" s="1" t="s">
        <v>56</v>
      </c>
      <c r="C40" s="1" t="s">
        <v>6</v>
      </c>
      <c r="D40" s="1">
        <v>8.0</v>
      </c>
      <c r="E40" s="1" t="s">
        <v>7</v>
      </c>
      <c r="F40" s="1">
        <v>2567381.0</v>
      </c>
    </row>
    <row r="41">
      <c r="A41" s="1">
        <v>39.0</v>
      </c>
      <c r="B41" s="1" t="s">
        <v>57</v>
      </c>
      <c r="C41" s="1" t="s">
        <v>6</v>
      </c>
      <c r="D41" s="1">
        <v>8.0</v>
      </c>
      <c r="E41" s="1" t="s">
        <v>7</v>
      </c>
      <c r="F41" s="1">
        <v>1637231.0</v>
      </c>
    </row>
    <row r="42">
      <c r="A42" s="1">
        <v>40.0</v>
      </c>
      <c r="B42" s="1" t="s">
        <v>58</v>
      </c>
      <c r="C42" s="1" t="s">
        <v>6</v>
      </c>
      <c r="D42" s="1">
        <v>7.0</v>
      </c>
      <c r="E42" s="1" t="s">
        <v>7</v>
      </c>
      <c r="F42" s="1">
        <v>902935.0</v>
      </c>
    </row>
    <row r="43">
      <c r="A43" s="1">
        <v>41.0</v>
      </c>
      <c r="B43" s="1" t="s">
        <v>59</v>
      </c>
      <c r="C43" s="1" t="s">
        <v>6</v>
      </c>
      <c r="D43" s="1">
        <v>7.0</v>
      </c>
      <c r="E43" s="1" t="s">
        <v>7</v>
      </c>
      <c r="F43" s="1">
        <v>970782.0</v>
      </c>
    </row>
    <row r="44">
      <c r="A44" s="1">
        <v>42.0</v>
      </c>
      <c r="B44" s="1" t="s">
        <v>60</v>
      </c>
      <c r="C44" s="1" t="s">
        <v>6</v>
      </c>
      <c r="D44" s="1">
        <v>7.0</v>
      </c>
      <c r="E44" s="1" t="s">
        <v>7</v>
      </c>
      <c r="F44" s="1">
        <v>50.0</v>
      </c>
    </row>
    <row r="45">
      <c r="A45" s="1">
        <v>43.0</v>
      </c>
      <c r="B45" s="1" t="s">
        <v>61</v>
      </c>
      <c r="C45" s="1" t="s">
        <v>6</v>
      </c>
      <c r="D45" s="1">
        <v>7.0</v>
      </c>
      <c r="E45" s="1" t="s">
        <v>7</v>
      </c>
      <c r="F45" s="1">
        <v>2119584.0</v>
      </c>
    </row>
    <row r="46">
      <c r="A46" s="1">
        <v>44.0</v>
      </c>
      <c r="B46" s="1" t="s">
        <v>62</v>
      </c>
      <c r="C46" s="1" t="s">
        <v>6</v>
      </c>
      <c r="D46" s="1">
        <v>7.0</v>
      </c>
      <c r="E46" s="1" t="s">
        <v>7</v>
      </c>
      <c r="F46" s="1">
        <v>465.0</v>
      </c>
    </row>
    <row r="47">
      <c r="A47" s="1">
        <v>45.0</v>
      </c>
      <c r="B47" s="1" t="s">
        <v>63</v>
      </c>
      <c r="C47" s="1" t="s">
        <v>6</v>
      </c>
      <c r="D47" s="1">
        <v>6.0</v>
      </c>
      <c r="E47" s="1" t="s">
        <v>7</v>
      </c>
      <c r="F47" s="1">
        <v>2624063.0</v>
      </c>
    </row>
    <row r="48">
      <c r="A48" s="1">
        <v>46.0</v>
      </c>
      <c r="B48" s="1" t="s">
        <v>64</v>
      </c>
      <c r="C48" s="1" t="s">
        <v>6</v>
      </c>
      <c r="D48" s="1">
        <v>6.0</v>
      </c>
      <c r="E48" s="1" t="s">
        <v>7</v>
      </c>
      <c r="F48" s="1">
        <v>955297.0</v>
      </c>
    </row>
    <row r="49">
      <c r="A49" s="1">
        <v>47.0</v>
      </c>
      <c r="B49" s="1" t="s">
        <v>65</v>
      </c>
      <c r="C49" s="1" t="s">
        <v>6</v>
      </c>
      <c r="D49" s="1">
        <v>6.0</v>
      </c>
      <c r="E49" s="1" t="s">
        <v>7</v>
      </c>
      <c r="F49" s="1">
        <v>761478.0</v>
      </c>
    </row>
    <row r="50">
      <c r="A50" s="1">
        <v>48.0</v>
      </c>
      <c r="B50" s="1" t="s">
        <v>66</v>
      </c>
      <c r="C50" s="1" t="s">
        <v>6</v>
      </c>
      <c r="D50" s="1">
        <v>6.0</v>
      </c>
      <c r="E50" s="1" t="s">
        <v>7</v>
      </c>
      <c r="F50" s="1">
        <v>2805476.0</v>
      </c>
    </row>
    <row r="51">
      <c r="A51" s="1">
        <v>49.0</v>
      </c>
      <c r="B51" s="1" t="s">
        <v>67</v>
      </c>
      <c r="C51" s="1" t="s">
        <v>6</v>
      </c>
      <c r="D51" s="1">
        <v>6.0</v>
      </c>
      <c r="E51" s="1" t="s">
        <v>7</v>
      </c>
      <c r="F51" s="1">
        <v>969112.0</v>
      </c>
    </row>
    <row r="52">
      <c r="A52" s="1">
        <v>50.0</v>
      </c>
      <c r="B52" s="1" t="s">
        <v>68</v>
      </c>
      <c r="C52" s="1" t="s">
        <v>6</v>
      </c>
      <c r="D52" s="1">
        <v>6.0</v>
      </c>
      <c r="E52" s="1" t="s">
        <v>7</v>
      </c>
      <c r="F52" s="1">
        <v>450979.0</v>
      </c>
    </row>
    <row r="53">
      <c r="A53" s="1">
        <v>51.0</v>
      </c>
      <c r="B53" s="1" t="s">
        <v>69</v>
      </c>
      <c r="C53" s="1" t="s">
        <v>6</v>
      </c>
      <c r="D53" s="1">
        <v>6.0</v>
      </c>
      <c r="E53" s="1" t="s">
        <v>7</v>
      </c>
      <c r="F53" s="1">
        <v>1338795.0</v>
      </c>
    </row>
    <row r="54">
      <c r="A54" s="1">
        <v>52.0</v>
      </c>
      <c r="B54" s="1" t="s">
        <v>70</v>
      </c>
      <c r="C54" s="1" t="s">
        <v>6</v>
      </c>
      <c r="D54" s="1">
        <v>6.0</v>
      </c>
      <c r="E54" s="1" t="s">
        <v>7</v>
      </c>
      <c r="F54" s="1">
        <v>1040493.0</v>
      </c>
    </row>
    <row r="55">
      <c r="A55" s="1">
        <v>53.0</v>
      </c>
      <c r="B55" s="1" t="s">
        <v>71</v>
      </c>
      <c r="C55" s="1" t="s">
        <v>6</v>
      </c>
      <c r="D55" s="1">
        <v>6.0</v>
      </c>
      <c r="E55" s="1" t="s">
        <v>7</v>
      </c>
      <c r="F55" s="1">
        <v>1291549.0</v>
      </c>
    </row>
    <row r="56">
      <c r="A56" s="1">
        <v>54.0</v>
      </c>
      <c r="B56" s="1" t="s">
        <v>72</v>
      </c>
      <c r="C56" s="1" t="s">
        <v>6</v>
      </c>
      <c r="D56" s="1">
        <v>6.0</v>
      </c>
      <c r="E56" s="1" t="s">
        <v>7</v>
      </c>
      <c r="F56" s="1">
        <v>49928.0</v>
      </c>
    </row>
    <row r="57">
      <c r="A57" s="1">
        <v>55.0</v>
      </c>
      <c r="B57" s="1" t="s">
        <v>73</v>
      </c>
      <c r="C57" s="1" t="s">
        <v>6</v>
      </c>
      <c r="D57" s="1">
        <v>6.0</v>
      </c>
      <c r="E57" s="1" t="s">
        <v>7</v>
      </c>
      <c r="F57" s="1">
        <v>1663189.0</v>
      </c>
    </row>
    <row r="58">
      <c r="A58" s="1">
        <v>56.0</v>
      </c>
      <c r="B58" s="1" t="s">
        <v>74</v>
      </c>
      <c r="C58" s="1" t="s">
        <v>6</v>
      </c>
      <c r="D58" s="1">
        <v>6.0</v>
      </c>
      <c r="E58" s="1" t="s">
        <v>7</v>
      </c>
      <c r="F58" s="1">
        <v>1323387.0</v>
      </c>
    </row>
    <row r="59">
      <c r="A59" s="1">
        <v>57.0</v>
      </c>
      <c r="B59" s="1" t="s">
        <v>75</v>
      </c>
      <c r="C59" s="1" t="s">
        <v>6</v>
      </c>
      <c r="D59" s="1">
        <v>6.0</v>
      </c>
      <c r="E59" s="1" t="s">
        <v>7</v>
      </c>
      <c r="F59" s="1">
        <v>1246266.0</v>
      </c>
    </row>
    <row r="60">
      <c r="A60" s="1">
        <v>58.0</v>
      </c>
      <c r="B60" s="1" t="s">
        <v>76</v>
      </c>
      <c r="C60" s="1" t="s">
        <v>6</v>
      </c>
      <c r="D60" s="1">
        <v>6.0</v>
      </c>
      <c r="E60" s="1" t="s">
        <v>7</v>
      </c>
      <c r="F60" s="1">
        <v>494147.0</v>
      </c>
    </row>
    <row r="61">
      <c r="A61" s="1">
        <v>59.0</v>
      </c>
      <c r="B61" s="1" t="s">
        <v>77</v>
      </c>
      <c r="C61" s="1" t="s">
        <v>6</v>
      </c>
      <c r="D61" s="1">
        <v>5.0</v>
      </c>
      <c r="E61" s="1" t="s">
        <v>7</v>
      </c>
      <c r="F61" s="1">
        <v>1892758.0</v>
      </c>
    </row>
    <row r="62">
      <c r="A62" s="1">
        <v>60.0</v>
      </c>
      <c r="B62" s="1" t="s">
        <v>78</v>
      </c>
      <c r="C62" s="1" t="s">
        <v>6</v>
      </c>
      <c r="D62" s="1">
        <v>5.0</v>
      </c>
      <c r="E62" s="1" t="s">
        <v>7</v>
      </c>
      <c r="F62" s="1">
        <v>1572054.0</v>
      </c>
    </row>
    <row r="63">
      <c r="A63" s="1">
        <v>61.0</v>
      </c>
      <c r="B63" s="1" t="s">
        <v>79</v>
      </c>
      <c r="C63" s="1" t="s">
        <v>6</v>
      </c>
      <c r="D63" s="1">
        <v>5.0</v>
      </c>
      <c r="E63" s="1" t="s">
        <v>7</v>
      </c>
      <c r="F63" s="1">
        <v>2024533.0</v>
      </c>
    </row>
    <row r="64">
      <c r="A64" s="1">
        <v>62.0</v>
      </c>
      <c r="B64" s="1" t="s">
        <v>80</v>
      </c>
      <c r="C64" s="1" t="s">
        <v>6</v>
      </c>
      <c r="D64" s="1">
        <v>5.0</v>
      </c>
      <c r="E64" s="1" t="s">
        <v>7</v>
      </c>
      <c r="F64" s="1">
        <v>1927564.0</v>
      </c>
    </row>
    <row r="65">
      <c r="A65" s="1">
        <v>63.0</v>
      </c>
      <c r="B65" s="1" t="s">
        <v>81</v>
      </c>
      <c r="C65" s="1" t="s">
        <v>6</v>
      </c>
      <c r="D65" s="1">
        <v>5.0</v>
      </c>
      <c r="E65" s="1" t="s">
        <v>7</v>
      </c>
      <c r="F65" s="1">
        <v>831462.0</v>
      </c>
    </row>
    <row r="66">
      <c r="A66" s="1">
        <v>64.0</v>
      </c>
      <c r="B66" s="1" t="s">
        <v>82</v>
      </c>
      <c r="C66" s="1" t="s">
        <v>6</v>
      </c>
      <c r="D66" s="1">
        <v>5.0</v>
      </c>
      <c r="E66" s="1" t="s">
        <v>7</v>
      </c>
      <c r="F66" s="1">
        <v>516323.0</v>
      </c>
    </row>
    <row r="67">
      <c r="A67" s="1">
        <v>65.0</v>
      </c>
      <c r="B67" s="1" t="s">
        <v>83</v>
      </c>
      <c r="C67" s="1" t="s">
        <v>6</v>
      </c>
      <c r="D67" s="1">
        <v>5.0</v>
      </c>
      <c r="E67" s="1" t="s">
        <v>7</v>
      </c>
      <c r="F67" s="1">
        <v>2333241.0</v>
      </c>
    </row>
    <row r="68">
      <c r="A68" s="1">
        <v>66.0</v>
      </c>
      <c r="B68" s="1" t="s">
        <v>84</v>
      </c>
      <c r="C68" s="1" t="s">
        <v>6</v>
      </c>
      <c r="D68" s="1">
        <v>5.0</v>
      </c>
      <c r="E68" s="1" t="s">
        <v>7</v>
      </c>
      <c r="F68" s="1">
        <v>2006522.0</v>
      </c>
    </row>
    <row r="69">
      <c r="A69" s="1">
        <v>67.0</v>
      </c>
      <c r="B69" s="1" t="s">
        <v>85</v>
      </c>
      <c r="C69" s="1" t="s">
        <v>6</v>
      </c>
      <c r="D69" s="1">
        <v>5.0</v>
      </c>
      <c r="E69" s="1" t="s">
        <v>7</v>
      </c>
      <c r="F69" s="1">
        <v>2160000.0</v>
      </c>
    </row>
    <row r="70">
      <c r="A70" s="1">
        <v>68.0</v>
      </c>
      <c r="B70" s="1" t="s">
        <v>86</v>
      </c>
      <c r="C70" s="1" t="s">
        <v>6</v>
      </c>
      <c r="D70" s="1">
        <v>5.0</v>
      </c>
      <c r="E70" s="1" t="s">
        <v>7</v>
      </c>
      <c r="F70" s="1">
        <v>1341316.0</v>
      </c>
    </row>
    <row r="71">
      <c r="A71" s="1">
        <v>69.0</v>
      </c>
      <c r="B71" s="1" t="s">
        <v>87</v>
      </c>
      <c r="C71" s="1" t="s">
        <v>6</v>
      </c>
      <c r="D71" s="1">
        <v>5.0</v>
      </c>
      <c r="E71" s="1" t="s">
        <v>7</v>
      </c>
      <c r="F71" s="1">
        <v>1634105.0</v>
      </c>
    </row>
    <row r="72">
      <c r="A72" s="1">
        <v>70.0</v>
      </c>
      <c r="B72" s="1" t="s">
        <v>88</v>
      </c>
      <c r="C72" s="1" t="s">
        <v>6</v>
      </c>
      <c r="D72" s="1">
        <v>5.0</v>
      </c>
      <c r="E72" s="1" t="s">
        <v>7</v>
      </c>
      <c r="F72" s="1">
        <v>1389256.0</v>
      </c>
    </row>
    <row r="73">
      <c r="A73" s="1">
        <v>71.0</v>
      </c>
      <c r="B73" s="1" t="s">
        <v>89</v>
      </c>
      <c r="C73" s="1" t="s">
        <v>6</v>
      </c>
      <c r="D73" s="1">
        <v>5.0</v>
      </c>
      <c r="E73" s="1" t="s">
        <v>7</v>
      </c>
      <c r="F73" s="1">
        <v>1231116.0</v>
      </c>
    </row>
    <row r="74">
      <c r="A74" s="1">
        <v>72.0</v>
      </c>
      <c r="B74" s="1" t="s">
        <v>90</v>
      </c>
      <c r="C74" s="1" t="s">
        <v>6</v>
      </c>
      <c r="D74" s="1">
        <v>5.0</v>
      </c>
      <c r="E74" s="1" t="s">
        <v>7</v>
      </c>
      <c r="F74" s="1">
        <v>2352941.0</v>
      </c>
    </row>
    <row r="75">
      <c r="A75" s="1">
        <v>73.0</v>
      </c>
      <c r="B75" s="1" t="s">
        <v>91</v>
      </c>
      <c r="C75" s="1" t="s">
        <v>6</v>
      </c>
      <c r="D75" s="1">
        <v>5.0</v>
      </c>
      <c r="E75" s="1" t="s">
        <v>7</v>
      </c>
      <c r="F75" s="1">
        <v>744551.0</v>
      </c>
    </row>
    <row r="76">
      <c r="A76" s="1">
        <v>74.0</v>
      </c>
      <c r="B76" s="1" t="s">
        <v>92</v>
      </c>
      <c r="C76" s="1" t="s">
        <v>6</v>
      </c>
      <c r="D76" s="1">
        <v>5.0</v>
      </c>
      <c r="E76" s="1" t="s">
        <v>7</v>
      </c>
      <c r="F76" s="1">
        <v>3014686.0</v>
      </c>
    </row>
    <row r="77">
      <c r="A77" s="1">
        <v>75.0</v>
      </c>
      <c r="B77" s="1" t="s">
        <v>93</v>
      </c>
      <c r="C77" s="1" t="s">
        <v>6</v>
      </c>
      <c r="D77" s="1">
        <v>5.0</v>
      </c>
      <c r="E77" s="1" t="s">
        <v>7</v>
      </c>
      <c r="F77" s="1">
        <v>1357204.0</v>
      </c>
    </row>
    <row r="78">
      <c r="A78" s="1">
        <v>76.0</v>
      </c>
      <c r="B78" s="1" t="s">
        <v>94</v>
      </c>
      <c r="C78" s="1" t="s">
        <v>6</v>
      </c>
      <c r="D78" s="1">
        <v>4.0</v>
      </c>
      <c r="E78" s="1" t="s">
        <v>7</v>
      </c>
      <c r="F78" s="1">
        <v>1053196.0</v>
      </c>
    </row>
    <row r="79">
      <c r="A79" s="1">
        <v>77.0</v>
      </c>
      <c r="B79" s="1" t="s">
        <v>95</v>
      </c>
      <c r="C79" s="1" t="s">
        <v>6</v>
      </c>
      <c r="D79" s="1">
        <v>4.0</v>
      </c>
      <c r="E79" s="1" t="s">
        <v>7</v>
      </c>
      <c r="F79" s="1">
        <v>1337606.0</v>
      </c>
    </row>
    <row r="80">
      <c r="A80" s="1">
        <v>78.0</v>
      </c>
      <c r="B80" s="1" t="s">
        <v>96</v>
      </c>
      <c r="C80" s="1" t="s">
        <v>6</v>
      </c>
      <c r="D80" s="1">
        <v>4.0</v>
      </c>
      <c r="E80" s="1" t="s">
        <v>7</v>
      </c>
      <c r="F80" s="1">
        <v>48825.0</v>
      </c>
    </row>
    <row r="81">
      <c r="A81" s="1">
        <v>79.0</v>
      </c>
      <c r="B81" s="1" t="s">
        <v>8</v>
      </c>
      <c r="C81" s="1" t="s">
        <v>6</v>
      </c>
      <c r="D81" s="1">
        <v>4.0</v>
      </c>
      <c r="E81" s="1" t="s">
        <v>7</v>
      </c>
      <c r="F81" s="1">
        <v>32953.0</v>
      </c>
    </row>
    <row r="82">
      <c r="A82" s="1">
        <v>80.0</v>
      </c>
      <c r="B82" s="1" t="s">
        <v>97</v>
      </c>
      <c r="C82" s="1" t="s">
        <v>6</v>
      </c>
      <c r="D82" s="1">
        <v>4.0</v>
      </c>
      <c r="E82" s="1" t="s">
        <v>7</v>
      </c>
      <c r="F82" s="1">
        <v>1649930.0</v>
      </c>
    </row>
    <row r="83">
      <c r="A83" s="1">
        <v>81.0</v>
      </c>
      <c r="B83" s="1" t="s">
        <v>98</v>
      </c>
      <c r="C83" s="1" t="s">
        <v>6</v>
      </c>
      <c r="D83" s="1">
        <v>4.0</v>
      </c>
      <c r="E83" s="1" t="s">
        <v>7</v>
      </c>
      <c r="F83" s="1">
        <v>1138060.0</v>
      </c>
    </row>
    <row r="84">
      <c r="A84" s="1">
        <v>82.0</v>
      </c>
      <c r="B84" s="1" t="s">
        <v>99</v>
      </c>
      <c r="C84" s="1" t="s">
        <v>6</v>
      </c>
      <c r="D84" s="1">
        <v>4.0</v>
      </c>
      <c r="E84" s="1" t="s">
        <v>7</v>
      </c>
      <c r="F84" s="1">
        <v>1612744.0</v>
      </c>
    </row>
    <row r="85">
      <c r="A85" s="1">
        <v>83.0</v>
      </c>
      <c r="B85" s="1" t="s">
        <v>100</v>
      </c>
      <c r="C85" s="1" t="s">
        <v>6</v>
      </c>
      <c r="D85" s="1">
        <v>4.0</v>
      </c>
      <c r="E85" s="1" t="s">
        <v>7</v>
      </c>
      <c r="F85" s="1">
        <v>432776.0</v>
      </c>
    </row>
    <row r="86">
      <c r="A86" s="1">
        <v>84.0</v>
      </c>
      <c r="B86" s="1" t="s">
        <v>101</v>
      </c>
      <c r="C86" s="1" t="s">
        <v>6</v>
      </c>
      <c r="D86" s="1">
        <v>4.0</v>
      </c>
      <c r="E86" s="1" t="s">
        <v>7</v>
      </c>
      <c r="F86" s="1">
        <v>987471.0</v>
      </c>
    </row>
    <row r="87">
      <c r="A87" s="1">
        <v>85.0</v>
      </c>
      <c r="B87" s="1" t="s">
        <v>102</v>
      </c>
      <c r="C87" s="1" t="s">
        <v>6</v>
      </c>
      <c r="D87" s="1">
        <v>4.0</v>
      </c>
      <c r="E87" s="1" t="s">
        <v>7</v>
      </c>
      <c r="F87" s="1">
        <v>1512297.0</v>
      </c>
    </row>
    <row r="88">
      <c r="A88" s="1">
        <v>86.0</v>
      </c>
      <c r="B88" s="1" t="s">
        <v>103</v>
      </c>
      <c r="C88" s="1" t="s">
        <v>6</v>
      </c>
      <c r="D88" s="1">
        <v>4.0</v>
      </c>
      <c r="E88" s="1" t="s">
        <v>7</v>
      </c>
      <c r="F88" s="1">
        <v>1752935.0</v>
      </c>
    </row>
    <row r="89">
      <c r="A89" s="1">
        <v>87.0</v>
      </c>
      <c r="B89" s="1" t="s">
        <v>104</v>
      </c>
      <c r="C89" s="1" t="s">
        <v>6</v>
      </c>
      <c r="D89" s="1">
        <v>4.0</v>
      </c>
      <c r="E89" s="1" t="s">
        <v>7</v>
      </c>
      <c r="F89" s="1">
        <v>1197944.0</v>
      </c>
    </row>
    <row r="90">
      <c r="A90" s="1">
        <v>88.0</v>
      </c>
      <c r="B90" s="1" t="s">
        <v>105</v>
      </c>
      <c r="C90" s="1" t="s">
        <v>6</v>
      </c>
      <c r="D90" s="1">
        <v>4.0</v>
      </c>
      <c r="E90" s="1" t="s">
        <v>7</v>
      </c>
      <c r="F90" s="1">
        <v>76962.0</v>
      </c>
    </row>
    <row r="91">
      <c r="A91" s="1">
        <v>89.0</v>
      </c>
      <c r="B91" s="1" t="s">
        <v>106</v>
      </c>
      <c r="C91" s="1" t="s">
        <v>6</v>
      </c>
      <c r="D91" s="1">
        <v>4.0</v>
      </c>
      <c r="E91" s="1" t="s">
        <v>7</v>
      </c>
      <c r="F91" s="1">
        <v>587146.0</v>
      </c>
    </row>
    <row r="92">
      <c r="A92" s="1">
        <v>90.0</v>
      </c>
      <c r="B92" s="1" t="s">
        <v>107</v>
      </c>
      <c r="C92" s="1" t="s">
        <v>6</v>
      </c>
      <c r="D92" s="1">
        <v>4.0</v>
      </c>
      <c r="E92" s="1" t="s">
        <v>7</v>
      </c>
      <c r="F92" s="1">
        <v>977543.0</v>
      </c>
    </row>
    <row r="93">
      <c r="A93" s="1">
        <v>91.0</v>
      </c>
      <c r="B93" s="1" t="s">
        <v>108</v>
      </c>
      <c r="C93" s="1" t="s">
        <v>6</v>
      </c>
      <c r="D93" s="1">
        <v>4.0</v>
      </c>
      <c r="E93" s="1" t="s">
        <v>7</v>
      </c>
      <c r="F93" s="1">
        <v>649755.0</v>
      </c>
    </row>
    <row r="94">
      <c r="A94" s="1">
        <v>92.0</v>
      </c>
      <c r="B94" s="1" t="s">
        <v>109</v>
      </c>
      <c r="C94" s="1" t="s">
        <v>6</v>
      </c>
      <c r="D94" s="1">
        <v>4.0</v>
      </c>
      <c r="E94" s="1" t="s">
        <v>7</v>
      </c>
      <c r="F94" s="1">
        <v>1177531.0</v>
      </c>
    </row>
    <row r="95">
      <c r="A95" s="1">
        <v>93.0</v>
      </c>
      <c r="B95" s="1" t="s">
        <v>110</v>
      </c>
      <c r="C95" s="1" t="s">
        <v>6</v>
      </c>
      <c r="D95" s="1">
        <v>4.0</v>
      </c>
      <c r="E95" s="1" t="s">
        <v>7</v>
      </c>
      <c r="F95" s="1">
        <v>1194925.0</v>
      </c>
    </row>
    <row r="96">
      <c r="A96" s="1">
        <v>94.0</v>
      </c>
      <c r="B96" s="1" t="s">
        <v>111</v>
      </c>
      <c r="C96" s="1" t="s">
        <v>6</v>
      </c>
      <c r="D96" s="1">
        <v>4.0</v>
      </c>
      <c r="E96" s="1" t="s">
        <v>7</v>
      </c>
      <c r="F96" s="1">
        <v>1693208.0</v>
      </c>
    </row>
    <row r="97">
      <c r="A97" s="1">
        <v>95.0</v>
      </c>
      <c r="B97" s="1" t="s">
        <v>112</v>
      </c>
      <c r="C97" s="1" t="s">
        <v>6</v>
      </c>
      <c r="D97" s="1">
        <v>4.0</v>
      </c>
      <c r="E97" s="1" t="s">
        <v>7</v>
      </c>
      <c r="F97" s="1">
        <v>414817.0</v>
      </c>
    </row>
    <row r="98">
      <c r="A98" s="1">
        <v>96.0</v>
      </c>
      <c r="B98" s="1" t="s">
        <v>113</v>
      </c>
      <c r="C98" s="1" t="s">
        <v>6</v>
      </c>
      <c r="D98" s="1">
        <v>4.0</v>
      </c>
      <c r="E98" s="1" t="s">
        <v>7</v>
      </c>
      <c r="F98" s="1">
        <v>704193.0</v>
      </c>
    </row>
    <row r="99">
      <c r="A99" s="1">
        <v>97.0</v>
      </c>
      <c r="B99" s="1" t="s">
        <v>114</v>
      </c>
      <c r="C99" s="1" t="s">
        <v>6</v>
      </c>
      <c r="D99" s="1">
        <v>4.0</v>
      </c>
      <c r="E99" s="1" t="s">
        <v>7</v>
      </c>
      <c r="F99" s="1">
        <v>590000.0</v>
      </c>
    </row>
    <row r="100">
      <c r="A100" s="1">
        <v>98.0</v>
      </c>
      <c r="B100" s="1" t="s">
        <v>115</v>
      </c>
      <c r="C100" s="1" t="s">
        <v>6</v>
      </c>
      <c r="D100" s="1">
        <v>4.0</v>
      </c>
      <c r="E100" s="1" t="s">
        <v>7</v>
      </c>
      <c r="F100" s="1">
        <v>1119069.0</v>
      </c>
    </row>
    <row r="101">
      <c r="A101" s="1">
        <v>99.0</v>
      </c>
      <c r="B101" s="1" t="s">
        <v>116</v>
      </c>
      <c r="C101" s="1" t="s">
        <v>6</v>
      </c>
      <c r="D101" s="1">
        <v>4.0</v>
      </c>
      <c r="E101" s="1" t="s">
        <v>7</v>
      </c>
      <c r="F101" s="1">
        <v>669225.0</v>
      </c>
    </row>
    <row r="102">
      <c r="A102" s="1">
        <v>100.0</v>
      </c>
      <c r="B102" s="1" t="s">
        <v>117</v>
      </c>
      <c r="C102" s="1" t="s">
        <v>6</v>
      </c>
      <c r="D102" s="1">
        <v>3.0</v>
      </c>
      <c r="E102" s="1" t="s">
        <v>7</v>
      </c>
      <c r="F102" s="1">
        <v>840000.0</v>
      </c>
    </row>
    <row r="103">
      <c r="A103" s="1">
        <v>101.0</v>
      </c>
      <c r="B103" s="1" t="s">
        <v>118</v>
      </c>
      <c r="C103" s="1" t="s">
        <v>6</v>
      </c>
      <c r="D103" s="1">
        <v>3.0</v>
      </c>
      <c r="E103" s="1" t="s">
        <v>7</v>
      </c>
      <c r="F103" s="1">
        <v>761610.0</v>
      </c>
    </row>
    <row r="104">
      <c r="A104" s="1">
        <v>102.0</v>
      </c>
      <c r="B104" s="1" t="s">
        <v>119</v>
      </c>
      <c r="C104" s="1" t="s">
        <v>6</v>
      </c>
      <c r="D104" s="1">
        <v>3.0</v>
      </c>
      <c r="E104" s="1" t="s">
        <v>7</v>
      </c>
      <c r="F104" s="1">
        <v>1670405.0</v>
      </c>
    </row>
    <row r="105">
      <c r="A105" s="1">
        <v>103.0</v>
      </c>
      <c r="B105" s="1" t="s">
        <v>120</v>
      </c>
      <c r="C105" s="1" t="s">
        <v>6</v>
      </c>
      <c r="D105" s="1">
        <v>3.0</v>
      </c>
      <c r="E105" s="1" t="s">
        <v>7</v>
      </c>
      <c r="F105" s="1">
        <v>1653106.0</v>
      </c>
    </row>
    <row r="106">
      <c r="A106" s="1">
        <v>104.0</v>
      </c>
      <c r="B106" s="1" t="s">
        <v>121</v>
      </c>
      <c r="C106" s="1" t="s">
        <v>6</v>
      </c>
      <c r="D106" s="1">
        <v>3.0</v>
      </c>
      <c r="E106" s="1" t="s">
        <v>7</v>
      </c>
      <c r="F106" s="1">
        <v>385393.0</v>
      </c>
    </row>
    <row r="107">
      <c r="A107" s="1">
        <v>105.0</v>
      </c>
      <c r="B107" s="1" t="s">
        <v>122</v>
      </c>
      <c r="C107" s="1" t="s">
        <v>6</v>
      </c>
      <c r="D107" s="1">
        <v>3.0</v>
      </c>
      <c r="E107" s="1" t="s">
        <v>7</v>
      </c>
      <c r="F107" s="1">
        <v>2600000.0</v>
      </c>
    </row>
    <row r="108">
      <c r="A108" s="1">
        <v>106.0</v>
      </c>
      <c r="B108" s="1" t="s">
        <v>123</v>
      </c>
      <c r="C108" s="1" t="s">
        <v>6</v>
      </c>
      <c r="D108" s="1">
        <v>3.0</v>
      </c>
      <c r="E108" s="1" t="s">
        <v>7</v>
      </c>
      <c r="F108" s="1">
        <v>1859109.0</v>
      </c>
    </row>
    <row r="109">
      <c r="A109" s="1">
        <v>107.0</v>
      </c>
      <c r="B109" s="1" t="s">
        <v>124</v>
      </c>
      <c r="C109" s="1" t="s">
        <v>6</v>
      </c>
      <c r="D109" s="1">
        <v>3.0</v>
      </c>
      <c r="E109" s="1" t="s">
        <v>7</v>
      </c>
      <c r="F109" s="1">
        <v>669785.0</v>
      </c>
    </row>
    <row r="110">
      <c r="A110" s="1">
        <v>108.0</v>
      </c>
      <c r="B110" s="1" t="s">
        <v>125</v>
      </c>
      <c r="C110" s="1" t="s">
        <v>6</v>
      </c>
      <c r="D110" s="1">
        <v>3.0</v>
      </c>
      <c r="E110" s="1" t="s">
        <v>7</v>
      </c>
      <c r="F110" s="1">
        <v>205.0</v>
      </c>
    </row>
    <row r="111">
      <c r="A111" s="1">
        <v>109.0</v>
      </c>
      <c r="B111" s="1" t="s">
        <v>126</v>
      </c>
      <c r="C111" s="1" t="s">
        <v>6</v>
      </c>
      <c r="D111" s="1">
        <v>3.0</v>
      </c>
      <c r="E111" s="1" t="s">
        <v>7</v>
      </c>
      <c r="F111" s="1">
        <v>1180355.0</v>
      </c>
    </row>
    <row r="112">
      <c r="A112" s="1">
        <v>110.0</v>
      </c>
      <c r="B112" s="1" t="s">
        <v>127</v>
      </c>
      <c r="C112" s="1" t="s">
        <v>6</v>
      </c>
      <c r="D112" s="1">
        <v>3.0</v>
      </c>
      <c r="E112" s="1" t="s">
        <v>7</v>
      </c>
      <c r="F112" s="1">
        <v>3812913.0</v>
      </c>
    </row>
    <row r="113">
      <c r="A113" s="1">
        <v>111.0</v>
      </c>
      <c r="B113" s="1" t="s">
        <v>128</v>
      </c>
      <c r="C113" s="1" t="s">
        <v>6</v>
      </c>
      <c r="D113" s="1">
        <v>3.0</v>
      </c>
      <c r="E113" s="1" t="s">
        <v>7</v>
      </c>
      <c r="F113" s="1">
        <v>2873437.0</v>
      </c>
    </row>
    <row r="114">
      <c r="A114" s="1">
        <v>112.0</v>
      </c>
      <c r="B114" s="1" t="s">
        <v>129</v>
      </c>
      <c r="C114" s="1" t="s">
        <v>6</v>
      </c>
      <c r="D114" s="1">
        <v>3.0</v>
      </c>
      <c r="E114" s="1" t="s">
        <v>7</v>
      </c>
      <c r="F114" s="1">
        <v>899123.0</v>
      </c>
    </row>
    <row r="115">
      <c r="A115" s="1">
        <v>113.0</v>
      </c>
      <c r="B115" s="1" t="s">
        <v>130</v>
      </c>
      <c r="C115" s="1" t="s">
        <v>6</v>
      </c>
      <c r="D115" s="1">
        <v>3.0</v>
      </c>
      <c r="E115" s="1" t="s">
        <v>7</v>
      </c>
      <c r="F115" s="1">
        <v>825077.0</v>
      </c>
    </row>
    <row r="116">
      <c r="A116" s="1">
        <v>114.0</v>
      </c>
      <c r="B116" s="1" t="s">
        <v>131</v>
      </c>
      <c r="C116" s="1" t="s">
        <v>6</v>
      </c>
      <c r="D116" s="1">
        <v>3.0</v>
      </c>
      <c r="E116" s="1" t="s">
        <v>7</v>
      </c>
      <c r="F116" s="1">
        <v>207.0</v>
      </c>
    </row>
    <row r="117">
      <c r="A117" s="1">
        <v>115.0</v>
      </c>
      <c r="B117" s="1" t="s">
        <v>132</v>
      </c>
      <c r="C117" s="1" t="s">
        <v>6</v>
      </c>
      <c r="D117" s="1">
        <v>3.0</v>
      </c>
      <c r="E117" s="1" t="s">
        <v>7</v>
      </c>
      <c r="F117" s="1">
        <v>1526335.0</v>
      </c>
    </row>
    <row r="118">
      <c r="A118" s="1">
        <v>116.0</v>
      </c>
      <c r="B118" s="1" t="s">
        <v>133</v>
      </c>
      <c r="C118" s="1" t="s">
        <v>6</v>
      </c>
      <c r="D118" s="1">
        <v>3.0</v>
      </c>
      <c r="E118" s="1" t="s">
        <v>7</v>
      </c>
      <c r="F118" s="1">
        <v>2875549.0</v>
      </c>
    </row>
    <row r="119">
      <c r="A119" s="1">
        <v>117.0</v>
      </c>
      <c r="B119" s="1" t="s">
        <v>134</v>
      </c>
      <c r="C119" s="1" t="s">
        <v>6</v>
      </c>
      <c r="D119" s="1">
        <v>3.0</v>
      </c>
      <c r="E119" s="1" t="s">
        <v>7</v>
      </c>
      <c r="F119" s="1">
        <v>36120.0</v>
      </c>
    </row>
    <row r="120">
      <c r="A120" s="1">
        <v>118.0</v>
      </c>
      <c r="B120" s="1" t="s">
        <v>135</v>
      </c>
      <c r="C120" s="1" t="s">
        <v>6</v>
      </c>
      <c r="D120" s="1">
        <v>3.0</v>
      </c>
      <c r="E120" s="1" t="s">
        <v>7</v>
      </c>
      <c r="F120" s="1">
        <v>1615535.0</v>
      </c>
    </row>
    <row r="121">
      <c r="A121" s="1">
        <v>119.0</v>
      </c>
      <c r="B121" s="1" t="s">
        <v>136</v>
      </c>
      <c r="C121" s="1" t="s">
        <v>6</v>
      </c>
      <c r="D121" s="1">
        <v>3.0</v>
      </c>
      <c r="E121" s="1" t="s">
        <v>7</v>
      </c>
      <c r="F121" s="1">
        <v>1352802.0</v>
      </c>
    </row>
    <row r="122">
      <c r="A122" s="1">
        <v>120.0</v>
      </c>
      <c r="B122" s="1" t="s">
        <v>137</v>
      </c>
      <c r="C122" s="1" t="s">
        <v>6</v>
      </c>
      <c r="D122" s="1">
        <v>3.0</v>
      </c>
      <c r="E122" s="1" t="s">
        <v>7</v>
      </c>
      <c r="F122" s="1">
        <v>148.0</v>
      </c>
    </row>
    <row r="123">
      <c r="A123" s="1">
        <v>121.0</v>
      </c>
      <c r="B123" s="1" t="s">
        <v>138</v>
      </c>
      <c r="C123" s="1" t="s">
        <v>6</v>
      </c>
      <c r="D123" s="1">
        <v>3.0</v>
      </c>
      <c r="E123" s="1" t="s">
        <v>7</v>
      </c>
      <c r="F123" s="1">
        <v>25581.0</v>
      </c>
    </row>
    <row r="124">
      <c r="A124" s="1">
        <v>122.0</v>
      </c>
      <c r="B124" s="1" t="s">
        <v>139</v>
      </c>
      <c r="C124" s="1" t="s">
        <v>6</v>
      </c>
      <c r="D124" s="1">
        <v>3.0</v>
      </c>
      <c r="E124" s="1" t="s">
        <v>7</v>
      </c>
      <c r="F124" s="1">
        <v>347924.0</v>
      </c>
    </row>
    <row r="125">
      <c r="A125" s="1">
        <v>123.0</v>
      </c>
      <c r="B125" s="1" t="s">
        <v>140</v>
      </c>
      <c r="C125" s="1" t="s">
        <v>6</v>
      </c>
      <c r="D125" s="1">
        <v>3.0</v>
      </c>
      <c r="E125" s="1" t="s">
        <v>7</v>
      </c>
      <c r="F125" s="1">
        <v>105.0</v>
      </c>
    </row>
    <row r="126">
      <c r="A126" s="1">
        <v>124.0</v>
      </c>
      <c r="B126" s="1" t="s">
        <v>141</v>
      </c>
      <c r="C126" s="1" t="s">
        <v>6</v>
      </c>
      <c r="D126" s="1">
        <v>3.0</v>
      </c>
      <c r="E126" s="1" t="s">
        <v>7</v>
      </c>
      <c r="F126" s="1">
        <v>1879205.0</v>
      </c>
    </row>
    <row r="127">
      <c r="A127" s="1">
        <v>125.0</v>
      </c>
      <c r="B127" s="1" t="s">
        <v>142</v>
      </c>
      <c r="C127" s="1" t="s">
        <v>6</v>
      </c>
      <c r="D127" s="1">
        <v>3.0</v>
      </c>
      <c r="E127" s="1" t="s">
        <v>7</v>
      </c>
      <c r="F127" s="1">
        <v>273000.0</v>
      </c>
    </row>
    <row r="128">
      <c r="A128" s="1">
        <v>126.0</v>
      </c>
      <c r="B128" s="1" t="s">
        <v>143</v>
      </c>
      <c r="C128" s="1" t="s">
        <v>6</v>
      </c>
      <c r="D128" s="1">
        <v>3.0</v>
      </c>
      <c r="E128" s="1" t="s">
        <v>7</v>
      </c>
      <c r="F128" s="1">
        <v>1007628.0</v>
      </c>
    </row>
    <row r="129">
      <c r="A129" s="1">
        <v>127.0</v>
      </c>
      <c r="B129" s="1" t="s">
        <v>144</v>
      </c>
      <c r="C129" s="1" t="s">
        <v>6</v>
      </c>
      <c r="D129" s="1">
        <v>3.0</v>
      </c>
      <c r="E129" s="1" t="s">
        <v>7</v>
      </c>
      <c r="F129" s="1">
        <v>1254416.0</v>
      </c>
    </row>
    <row r="130">
      <c r="A130" s="1">
        <v>128.0</v>
      </c>
      <c r="B130" s="1" t="s">
        <v>145</v>
      </c>
      <c r="C130" s="1" t="s">
        <v>6</v>
      </c>
      <c r="D130" s="1">
        <v>3.0</v>
      </c>
      <c r="E130" s="1" t="s">
        <v>7</v>
      </c>
      <c r="F130" s="1">
        <v>324000.0</v>
      </c>
    </row>
    <row r="131">
      <c r="A131" s="1">
        <v>129.0</v>
      </c>
      <c r="B131" s="1" t="s">
        <v>146</v>
      </c>
      <c r="C131" s="1" t="s">
        <v>6</v>
      </c>
      <c r="D131" s="1">
        <v>3.0</v>
      </c>
      <c r="E131" s="1" t="s">
        <v>7</v>
      </c>
      <c r="F131" s="1">
        <v>362209.0</v>
      </c>
    </row>
    <row r="132">
      <c r="A132" s="1">
        <v>130.0</v>
      </c>
      <c r="B132" s="1" t="s">
        <v>147</v>
      </c>
      <c r="C132" s="1" t="s">
        <v>6</v>
      </c>
      <c r="D132" s="1">
        <v>3.0</v>
      </c>
      <c r="E132" s="1" t="s">
        <v>7</v>
      </c>
      <c r="F132" s="1">
        <v>349.0</v>
      </c>
    </row>
    <row r="133">
      <c r="A133" s="1">
        <v>131.0</v>
      </c>
      <c r="B133" s="1" t="s">
        <v>148</v>
      </c>
      <c r="C133" s="1" t="s">
        <v>6</v>
      </c>
      <c r="D133" s="1">
        <v>3.0</v>
      </c>
      <c r="E133" s="1" t="s">
        <v>7</v>
      </c>
      <c r="F133" s="1">
        <v>1923665.0</v>
      </c>
    </row>
    <row r="134">
      <c r="A134" s="1">
        <v>132.0</v>
      </c>
      <c r="B134" s="1" t="s">
        <v>149</v>
      </c>
      <c r="C134" s="1" t="s">
        <v>6</v>
      </c>
      <c r="D134" s="1">
        <v>3.0</v>
      </c>
      <c r="E134" s="1" t="s">
        <v>7</v>
      </c>
      <c r="F134" s="1">
        <v>1171687.0</v>
      </c>
    </row>
    <row r="135">
      <c r="A135" s="1">
        <v>133.0</v>
      </c>
      <c r="B135" s="1" t="s">
        <v>150</v>
      </c>
      <c r="C135" s="1" t="s">
        <v>6</v>
      </c>
      <c r="D135" s="1">
        <v>2.0</v>
      </c>
      <c r="E135" s="1" t="s">
        <v>7</v>
      </c>
      <c r="F135" s="1">
        <v>93234.0</v>
      </c>
    </row>
    <row r="136">
      <c r="A136" s="1">
        <v>134.0</v>
      </c>
      <c r="B136" s="1" t="s">
        <v>151</v>
      </c>
      <c r="C136" s="1" t="s">
        <v>6</v>
      </c>
      <c r="D136" s="1">
        <v>2.0</v>
      </c>
      <c r="E136" s="1" t="s">
        <v>7</v>
      </c>
      <c r="F136" s="1">
        <v>2839076.0</v>
      </c>
    </row>
    <row r="137">
      <c r="A137" s="1">
        <v>135.0</v>
      </c>
      <c r="B137" s="1" t="s">
        <v>152</v>
      </c>
      <c r="C137" s="1" t="s">
        <v>6</v>
      </c>
      <c r="D137" s="1">
        <v>2.0</v>
      </c>
      <c r="E137" s="1" t="s">
        <v>7</v>
      </c>
      <c r="F137" s="1">
        <v>1438576.0</v>
      </c>
    </row>
    <row r="138">
      <c r="A138" s="1">
        <v>136.0</v>
      </c>
      <c r="B138" s="1" t="s">
        <v>153</v>
      </c>
      <c r="C138" s="1" t="s">
        <v>6</v>
      </c>
      <c r="D138" s="1">
        <v>2.0</v>
      </c>
      <c r="E138" s="1" t="s">
        <v>7</v>
      </c>
      <c r="F138" s="1">
        <v>1930235.0</v>
      </c>
    </row>
    <row r="139">
      <c r="A139" s="1">
        <v>137.0</v>
      </c>
      <c r="B139" s="1" t="s">
        <v>154</v>
      </c>
      <c r="C139" s="1" t="s">
        <v>6</v>
      </c>
      <c r="D139" s="1">
        <v>2.0</v>
      </c>
      <c r="E139" s="1" t="s">
        <v>7</v>
      </c>
      <c r="F139" s="1">
        <v>1149607.0</v>
      </c>
    </row>
    <row r="140">
      <c r="A140" s="1">
        <v>138.0</v>
      </c>
      <c r="B140" s="1" t="s">
        <v>86</v>
      </c>
      <c r="C140" s="1" t="s">
        <v>6</v>
      </c>
      <c r="D140" s="1">
        <v>2.0</v>
      </c>
      <c r="E140" s="1" t="s">
        <v>7</v>
      </c>
      <c r="F140" s="1">
        <v>1407768.0</v>
      </c>
    </row>
    <row r="141">
      <c r="A141" s="1">
        <v>139.0</v>
      </c>
      <c r="B141" s="1" t="s">
        <v>155</v>
      </c>
      <c r="C141" s="1" t="s">
        <v>6</v>
      </c>
      <c r="D141" s="1">
        <v>2.0</v>
      </c>
      <c r="E141" s="1" t="s">
        <v>7</v>
      </c>
      <c r="F141" s="1">
        <v>961306.0</v>
      </c>
    </row>
    <row r="142">
      <c r="A142" s="1">
        <v>140.0</v>
      </c>
      <c r="B142" s="1" t="s">
        <v>156</v>
      </c>
      <c r="C142" s="1" t="s">
        <v>6</v>
      </c>
      <c r="D142" s="1">
        <v>2.0</v>
      </c>
      <c r="E142" s="1" t="s">
        <v>7</v>
      </c>
      <c r="F142" s="1">
        <v>43047.0</v>
      </c>
    </row>
    <row r="143">
      <c r="A143" s="1">
        <v>141.0</v>
      </c>
      <c r="B143" s="1" t="s">
        <v>157</v>
      </c>
      <c r="C143" s="1" t="s">
        <v>6</v>
      </c>
      <c r="D143" s="1">
        <v>2.0</v>
      </c>
      <c r="E143" s="1" t="s">
        <v>7</v>
      </c>
      <c r="F143" s="1">
        <v>2315641.0</v>
      </c>
    </row>
    <row r="144">
      <c r="A144" s="1">
        <v>142.0</v>
      </c>
      <c r="B144" s="1" t="s">
        <v>158</v>
      </c>
      <c r="C144" s="1" t="s">
        <v>6</v>
      </c>
      <c r="D144" s="1">
        <v>2.0</v>
      </c>
      <c r="E144" s="1" t="s">
        <v>7</v>
      </c>
      <c r="F144" s="1">
        <v>2472920.0</v>
      </c>
    </row>
    <row r="145">
      <c r="A145" s="1">
        <v>143.0</v>
      </c>
      <c r="B145" s="1" t="s">
        <v>159</v>
      </c>
      <c r="C145" s="1" t="s">
        <v>6</v>
      </c>
      <c r="D145" s="1">
        <v>2.0</v>
      </c>
      <c r="E145" s="1" t="s">
        <v>7</v>
      </c>
      <c r="F145" s="1">
        <v>496798.0</v>
      </c>
    </row>
    <row r="146">
      <c r="A146" s="1">
        <v>144.0</v>
      </c>
      <c r="B146" s="1" t="s">
        <v>160</v>
      </c>
      <c r="C146" s="1" t="s">
        <v>6</v>
      </c>
      <c r="D146" s="1">
        <v>2.0</v>
      </c>
      <c r="E146" s="1" t="s">
        <v>7</v>
      </c>
      <c r="F146" s="1">
        <v>64222.0</v>
      </c>
    </row>
    <row r="147">
      <c r="A147" s="1">
        <v>145.0</v>
      </c>
      <c r="B147" s="1" t="s">
        <v>161</v>
      </c>
      <c r="C147" s="1" t="s">
        <v>6</v>
      </c>
      <c r="D147" s="1">
        <v>2.0</v>
      </c>
      <c r="E147" s="1" t="s">
        <v>7</v>
      </c>
      <c r="F147" s="1">
        <v>2420967.0</v>
      </c>
    </row>
    <row r="148">
      <c r="A148" s="1">
        <v>146.0</v>
      </c>
      <c r="B148" s="1" t="s">
        <v>162</v>
      </c>
      <c r="C148" s="1" t="s">
        <v>6</v>
      </c>
      <c r="D148" s="1">
        <v>2.0</v>
      </c>
      <c r="E148" s="1" t="s">
        <v>7</v>
      </c>
      <c r="F148" s="1">
        <v>2079353.0</v>
      </c>
    </row>
    <row r="149">
      <c r="A149" s="1">
        <v>147.0</v>
      </c>
      <c r="B149" s="1" t="s">
        <v>163</v>
      </c>
      <c r="C149" s="1" t="s">
        <v>6</v>
      </c>
      <c r="D149" s="1">
        <v>2.0</v>
      </c>
      <c r="E149" s="1" t="s">
        <v>7</v>
      </c>
      <c r="F149" s="1">
        <v>1207396.0</v>
      </c>
    </row>
    <row r="150">
      <c r="A150" s="1">
        <v>148.0</v>
      </c>
      <c r="B150" s="1" t="s">
        <v>164</v>
      </c>
      <c r="C150" s="1" t="s">
        <v>6</v>
      </c>
      <c r="D150" s="1">
        <v>2.0</v>
      </c>
      <c r="E150" s="1" t="s">
        <v>7</v>
      </c>
      <c r="F150" s="1">
        <v>75372.0</v>
      </c>
    </row>
    <row r="151">
      <c r="A151" s="1">
        <v>149.0</v>
      </c>
      <c r="B151" s="1" t="s">
        <v>165</v>
      </c>
      <c r="C151" s="1" t="s">
        <v>6</v>
      </c>
      <c r="D151" s="1">
        <v>2.0</v>
      </c>
      <c r="E151" s="1" t="s">
        <v>7</v>
      </c>
      <c r="F151" s="1">
        <v>1825549.0</v>
      </c>
    </row>
    <row r="152">
      <c r="A152" s="1">
        <v>150.0</v>
      </c>
      <c r="B152" s="1" t="s">
        <v>166</v>
      </c>
      <c r="C152" s="1" t="s">
        <v>6</v>
      </c>
      <c r="D152" s="1">
        <v>2.0</v>
      </c>
      <c r="E152" s="1" t="s">
        <v>7</v>
      </c>
      <c r="F152" s="1">
        <v>37004.0</v>
      </c>
    </row>
    <row r="153">
      <c r="A153" s="1">
        <v>151.0</v>
      </c>
      <c r="B153" s="1" t="s">
        <v>167</v>
      </c>
      <c r="C153" s="1" t="s">
        <v>6</v>
      </c>
      <c r="D153" s="1">
        <v>2.0</v>
      </c>
      <c r="E153" s="1" t="s">
        <v>7</v>
      </c>
      <c r="F153" s="1">
        <v>1917242.0</v>
      </c>
    </row>
    <row r="154">
      <c r="A154" s="1">
        <v>152.0</v>
      </c>
      <c r="B154" s="1" t="s">
        <v>168</v>
      </c>
      <c r="C154" s="1" t="s">
        <v>6</v>
      </c>
      <c r="D154" s="1">
        <v>2.0</v>
      </c>
      <c r="E154" s="1" t="s">
        <v>7</v>
      </c>
      <c r="F154" s="1">
        <v>1612292.0</v>
      </c>
    </row>
    <row r="155">
      <c r="A155" s="1">
        <v>153.0</v>
      </c>
      <c r="B155" s="1" t="s">
        <v>169</v>
      </c>
      <c r="C155" s="1" t="s">
        <v>6</v>
      </c>
      <c r="D155" s="1">
        <v>2.0</v>
      </c>
      <c r="E155" s="1" t="s">
        <v>7</v>
      </c>
      <c r="F155" s="1">
        <v>1587.0</v>
      </c>
    </row>
    <row r="156">
      <c r="A156" s="1">
        <v>154.0</v>
      </c>
      <c r="B156" s="1" t="s">
        <v>170</v>
      </c>
      <c r="C156" s="1" t="s">
        <v>6</v>
      </c>
      <c r="D156" s="1">
        <v>2.0</v>
      </c>
      <c r="E156" s="1" t="s">
        <v>7</v>
      </c>
      <c r="F156" s="1">
        <v>15169.0</v>
      </c>
    </row>
    <row r="157">
      <c r="A157" s="1">
        <v>155.0</v>
      </c>
      <c r="B157" s="1" t="s">
        <v>171</v>
      </c>
      <c r="C157" s="1" t="s">
        <v>6</v>
      </c>
      <c r="D157" s="1">
        <v>2.0</v>
      </c>
      <c r="E157" s="1" t="s">
        <v>7</v>
      </c>
      <c r="F157" s="1">
        <v>729193.0</v>
      </c>
    </row>
    <row r="158">
      <c r="A158" s="1">
        <v>156.0</v>
      </c>
      <c r="B158" s="1" t="s">
        <v>172</v>
      </c>
      <c r="C158" s="1" t="s">
        <v>6</v>
      </c>
      <c r="D158" s="1">
        <v>2.0</v>
      </c>
      <c r="E158" s="1" t="s">
        <v>7</v>
      </c>
      <c r="F158" s="1">
        <v>1245989.0</v>
      </c>
    </row>
    <row r="159">
      <c r="A159" s="1">
        <v>157.0</v>
      </c>
      <c r="B159" s="1" t="s">
        <v>173</v>
      </c>
      <c r="C159" s="1" t="s">
        <v>6</v>
      </c>
      <c r="D159" s="1">
        <v>2.0</v>
      </c>
      <c r="E159" s="1" t="s">
        <v>7</v>
      </c>
      <c r="F159" s="1">
        <v>750734.0</v>
      </c>
    </row>
    <row r="160">
      <c r="A160" s="1">
        <v>158.0</v>
      </c>
      <c r="B160" s="1" t="s">
        <v>174</v>
      </c>
      <c r="C160" s="1" t="s">
        <v>6</v>
      </c>
      <c r="D160" s="1">
        <v>2.0</v>
      </c>
      <c r="E160" s="1" t="s">
        <v>7</v>
      </c>
      <c r="F160" s="1">
        <v>1319401.0</v>
      </c>
    </row>
    <row r="161">
      <c r="A161" s="1">
        <v>159.0</v>
      </c>
      <c r="B161" s="1" t="s">
        <v>175</v>
      </c>
      <c r="C161" s="1" t="s">
        <v>6</v>
      </c>
      <c r="D161" s="1">
        <v>2.0</v>
      </c>
      <c r="E161" s="1" t="s">
        <v>7</v>
      </c>
      <c r="F161" s="1">
        <v>964.0</v>
      </c>
    </row>
    <row r="162">
      <c r="A162" s="1">
        <v>160.0</v>
      </c>
      <c r="B162" s="1" t="s">
        <v>176</v>
      </c>
      <c r="C162" s="1" t="s">
        <v>6</v>
      </c>
      <c r="D162" s="1">
        <v>2.0</v>
      </c>
      <c r="E162" s="1" t="s">
        <v>7</v>
      </c>
      <c r="F162" s="1">
        <v>41750.0</v>
      </c>
    </row>
    <row r="163">
      <c r="A163" s="1">
        <v>161.0</v>
      </c>
      <c r="B163" s="1" t="s">
        <v>177</v>
      </c>
      <c r="C163" s="1" t="s">
        <v>6</v>
      </c>
      <c r="D163" s="1">
        <v>2.0</v>
      </c>
      <c r="E163" s="1" t="s">
        <v>7</v>
      </c>
      <c r="F163" s="1">
        <v>1223165.0</v>
      </c>
    </row>
    <row r="164">
      <c r="A164" s="1">
        <v>162.0</v>
      </c>
      <c r="B164" s="1" t="s">
        <v>178</v>
      </c>
      <c r="C164" s="1" t="s">
        <v>6</v>
      </c>
      <c r="D164" s="1">
        <v>2.0</v>
      </c>
      <c r="E164" s="1" t="s">
        <v>7</v>
      </c>
      <c r="F164" s="1">
        <v>1423985.0</v>
      </c>
    </row>
    <row r="165">
      <c r="A165" s="1">
        <v>163.0</v>
      </c>
      <c r="B165" s="1" t="s">
        <v>179</v>
      </c>
      <c r="C165" s="1" t="s">
        <v>6</v>
      </c>
      <c r="D165" s="1">
        <v>2.0</v>
      </c>
      <c r="E165" s="1" t="s">
        <v>7</v>
      </c>
      <c r="F165" s="1">
        <v>134323.0</v>
      </c>
    </row>
    <row r="166">
      <c r="A166" s="1">
        <v>164.0</v>
      </c>
      <c r="B166" s="1" t="s">
        <v>180</v>
      </c>
      <c r="C166" s="1" t="s">
        <v>6</v>
      </c>
      <c r="D166" s="1">
        <v>2.0</v>
      </c>
      <c r="E166" s="1" t="s">
        <v>7</v>
      </c>
      <c r="F166" s="1">
        <v>2050962.0</v>
      </c>
    </row>
    <row r="167">
      <c r="A167" s="1">
        <v>165.0</v>
      </c>
      <c r="B167" s="1" t="s">
        <v>181</v>
      </c>
      <c r="C167" s="1" t="s">
        <v>6</v>
      </c>
      <c r="D167" s="1">
        <v>2.0</v>
      </c>
      <c r="E167" s="1" t="s">
        <v>7</v>
      </c>
      <c r="F167" s="1">
        <v>1304028.0</v>
      </c>
    </row>
    <row r="168">
      <c r="A168" s="1">
        <v>166.0</v>
      </c>
      <c r="B168" s="1" t="s">
        <v>182</v>
      </c>
      <c r="C168" s="1" t="s">
        <v>6</v>
      </c>
      <c r="D168" s="1">
        <v>2.0</v>
      </c>
      <c r="E168" s="1" t="s">
        <v>7</v>
      </c>
      <c r="F168" s="1">
        <v>1213107.0</v>
      </c>
    </row>
    <row r="169">
      <c r="A169" s="1">
        <v>167.0</v>
      </c>
      <c r="B169" s="1" t="s">
        <v>183</v>
      </c>
      <c r="C169" s="1" t="s">
        <v>6</v>
      </c>
      <c r="D169" s="1">
        <v>2.0</v>
      </c>
      <c r="E169" s="1" t="s">
        <v>7</v>
      </c>
      <c r="F169" s="1">
        <v>111147.0</v>
      </c>
    </row>
    <row r="170">
      <c r="A170" s="1">
        <v>168.0</v>
      </c>
      <c r="B170" s="1" t="s">
        <v>184</v>
      </c>
      <c r="C170" s="1" t="s">
        <v>6</v>
      </c>
      <c r="D170" s="1">
        <v>2.0</v>
      </c>
      <c r="E170" s="1" t="s">
        <v>7</v>
      </c>
      <c r="F170" s="1">
        <v>1518492.0</v>
      </c>
    </row>
    <row r="171">
      <c r="A171" s="1">
        <v>169.0</v>
      </c>
      <c r="B171" s="1" t="s">
        <v>185</v>
      </c>
      <c r="C171" s="1" t="s">
        <v>6</v>
      </c>
      <c r="D171" s="1">
        <v>2.0</v>
      </c>
      <c r="E171" s="1" t="s">
        <v>7</v>
      </c>
      <c r="F171" s="1">
        <v>1327250.0</v>
      </c>
    </row>
    <row r="172">
      <c r="A172" s="1">
        <v>170.0</v>
      </c>
      <c r="B172" s="1" t="s">
        <v>186</v>
      </c>
      <c r="C172" s="1" t="s">
        <v>6</v>
      </c>
      <c r="D172" s="1">
        <v>2.0</v>
      </c>
      <c r="E172" s="1" t="s">
        <v>7</v>
      </c>
      <c r="F172" s="1">
        <v>16862.0</v>
      </c>
    </row>
    <row r="173">
      <c r="A173" s="1">
        <v>171.0</v>
      </c>
      <c r="B173" s="1" t="s">
        <v>187</v>
      </c>
      <c r="C173" s="1" t="s">
        <v>6</v>
      </c>
      <c r="D173" s="1">
        <v>2.0</v>
      </c>
      <c r="E173" s="1" t="s">
        <v>7</v>
      </c>
      <c r="F173" s="1">
        <v>18830.0</v>
      </c>
    </row>
    <row r="174">
      <c r="A174" s="1">
        <v>172.0</v>
      </c>
      <c r="B174" s="1" t="s">
        <v>188</v>
      </c>
      <c r="C174" s="1" t="s">
        <v>6</v>
      </c>
      <c r="D174" s="1">
        <v>2.0</v>
      </c>
      <c r="E174" s="1" t="s">
        <v>7</v>
      </c>
      <c r="F174" s="1">
        <v>1433532.0</v>
      </c>
    </row>
    <row r="175">
      <c r="A175" s="1">
        <v>173.0</v>
      </c>
      <c r="B175" s="1" t="s">
        <v>189</v>
      </c>
      <c r="C175" s="1" t="s">
        <v>6</v>
      </c>
      <c r="D175" s="1">
        <v>2.0</v>
      </c>
      <c r="E175" s="1" t="s">
        <v>7</v>
      </c>
      <c r="F175" s="1">
        <v>2404581.0</v>
      </c>
    </row>
    <row r="176">
      <c r="A176" s="1">
        <v>174.0</v>
      </c>
      <c r="B176" s="1" t="s">
        <v>190</v>
      </c>
      <c r="C176" s="1" t="s">
        <v>6</v>
      </c>
      <c r="D176" s="1">
        <v>2.0</v>
      </c>
      <c r="E176" s="1" t="s">
        <v>7</v>
      </c>
      <c r="F176" s="1">
        <v>1560483.0</v>
      </c>
    </row>
    <row r="177">
      <c r="A177" s="1">
        <v>175.0</v>
      </c>
      <c r="B177" s="1" t="s">
        <v>191</v>
      </c>
      <c r="C177" s="1" t="s">
        <v>6</v>
      </c>
      <c r="D177" s="1">
        <v>2.0</v>
      </c>
      <c r="E177" s="1" t="s">
        <v>7</v>
      </c>
      <c r="F177" s="1">
        <v>996878.0</v>
      </c>
    </row>
    <row r="178">
      <c r="A178" s="1">
        <v>176.0</v>
      </c>
      <c r="B178" s="1" t="s">
        <v>192</v>
      </c>
      <c r="C178" s="1" t="s">
        <v>6</v>
      </c>
      <c r="D178" s="1">
        <v>2.0</v>
      </c>
      <c r="E178" s="1" t="s">
        <v>7</v>
      </c>
      <c r="F178" s="1">
        <v>294363.0</v>
      </c>
    </row>
    <row r="179">
      <c r="A179" s="1">
        <v>177.0</v>
      </c>
      <c r="B179" s="1" t="s">
        <v>193</v>
      </c>
      <c r="C179" s="1" t="s">
        <v>6</v>
      </c>
      <c r="D179" s="1">
        <v>2.0</v>
      </c>
      <c r="E179" s="1" t="s">
        <v>7</v>
      </c>
      <c r="F179" s="1">
        <v>1635202.0</v>
      </c>
    </row>
    <row r="180">
      <c r="A180" s="1">
        <v>178.0</v>
      </c>
      <c r="B180" s="1" t="s">
        <v>194</v>
      </c>
      <c r="C180" s="1" t="s">
        <v>6</v>
      </c>
      <c r="D180" s="1">
        <v>2.0</v>
      </c>
      <c r="E180" s="1" t="s">
        <v>7</v>
      </c>
      <c r="F180" s="1">
        <v>1299238.0</v>
      </c>
    </row>
    <row r="181">
      <c r="A181" s="1">
        <v>179.0</v>
      </c>
      <c r="B181" s="1" t="s">
        <v>119</v>
      </c>
      <c r="C181" s="1" t="s">
        <v>6</v>
      </c>
      <c r="D181" s="1">
        <v>2.0</v>
      </c>
      <c r="E181" s="1" t="s">
        <v>7</v>
      </c>
      <c r="F181" s="1">
        <v>33050.0</v>
      </c>
    </row>
    <row r="182">
      <c r="A182" s="1">
        <v>180.0</v>
      </c>
      <c r="B182" s="1" t="s">
        <v>195</v>
      </c>
      <c r="C182" s="1" t="s">
        <v>6</v>
      </c>
      <c r="D182" s="1">
        <v>2.0</v>
      </c>
      <c r="E182" s="1" t="s">
        <v>7</v>
      </c>
      <c r="F182" s="1">
        <v>57921.0</v>
      </c>
    </row>
    <row r="183">
      <c r="A183" s="1">
        <v>181.0</v>
      </c>
      <c r="B183" s="1" t="s">
        <v>196</v>
      </c>
      <c r="C183" s="1" t="s">
        <v>6</v>
      </c>
      <c r="D183" s="1">
        <v>2.0</v>
      </c>
      <c r="E183" s="1" t="s">
        <v>7</v>
      </c>
      <c r="F183" s="1">
        <v>1532945.0</v>
      </c>
    </row>
    <row r="184">
      <c r="A184" s="1">
        <v>182.0</v>
      </c>
      <c r="B184" s="1" t="s">
        <v>197</v>
      </c>
      <c r="C184" s="1" t="s">
        <v>6</v>
      </c>
      <c r="D184" s="1">
        <v>2.0</v>
      </c>
      <c r="E184" s="1" t="s">
        <v>7</v>
      </c>
      <c r="F184" s="1">
        <v>2530666.0</v>
      </c>
    </row>
    <row r="185">
      <c r="A185" s="1">
        <v>183.0</v>
      </c>
      <c r="B185" s="1" t="s">
        <v>198</v>
      </c>
      <c r="C185" s="1" t="s">
        <v>6</v>
      </c>
      <c r="D185" s="1">
        <v>2.0</v>
      </c>
      <c r="E185" s="1" t="s">
        <v>7</v>
      </c>
      <c r="F185" s="1">
        <v>2065471.0</v>
      </c>
    </row>
    <row r="186">
      <c r="A186" s="1">
        <v>184.0</v>
      </c>
      <c r="B186" s="1" t="s">
        <v>199</v>
      </c>
      <c r="C186" s="1" t="s">
        <v>6</v>
      </c>
      <c r="D186" s="1">
        <v>2.0</v>
      </c>
      <c r="E186" s="1" t="s">
        <v>7</v>
      </c>
      <c r="F186" s="1">
        <v>712128.0</v>
      </c>
    </row>
    <row r="187">
      <c r="A187" s="1">
        <v>185.0</v>
      </c>
      <c r="B187" s="1" t="s">
        <v>200</v>
      </c>
      <c r="C187" s="1" t="s">
        <v>6</v>
      </c>
      <c r="D187" s="1">
        <v>2.0</v>
      </c>
      <c r="E187" s="1" t="s">
        <v>7</v>
      </c>
      <c r="F187" s="1">
        <v>1975970.0</v>
      </c>
    </row>
    <row r="188">
      <c r="A188" s="1">
        <v>186.0</v>
      </c>
      <c r="B188" s="1" t="s">
        <v>201</v>
      </c>
      <c r="C188" s="1" t="s">
        <v>6</v>
      </c>
      <c r="D188" s="1">
        <v>2.0</v>
      </c>
      <c r="E188" s="1" t="s">
        <v>7</v>
      </c>
      <c r="F188" s="1">
        <v>1085362.0</v>
      </c>
    </row>
    <row r="189">
      <c r="A189" s="1">
        <v>187.0</v>
      </c>
      <c r="B189" s="1" t="s">
        <v>202</v>
      </c>
      <c r="C189" s="1" t="s">
        <v>6</v>
      </c>
      <c r="D189" s="1">
        <v>2.0</v>
      </c>
      <c r="E189" s="1" t="s">
        <v>7</v>
      </c>
      <c r="F189" s="1">
        <v>1064862.0</v>
      </c>
    </row>
    <row r="190">
      <c r="A190" s="1">
        <v>188.0</v>
      </c>
      <c r="B190" s="1" t="s">
        <v>203</v>
      </c>
      <c r="C190" s="1" t="s">
        <v>6</v>
      </c>
      <c r="D190" s="1">
        <v>2.0</v>
      </c>
      <c r="E190" s="1" t="s">
        <v>7</v>
      </c>
      <c r="F190" s="1">
        <v>3146934.0</v>
      </c>
    </row>
    <row r="191">
      <c r="A191" s="1">
        <v>189.0</v>
      </c>
      <c r="B191" s="1" t="s">
        <v>204</v>
      </c>
      <c r="C191" s="1" t="s">
        <v>6</v>
      </c>
      <c r="D191" s="1">
        <v>2.0</v>
      </c>
      <c r="E191" s="1" t="s">
        <v>7</v>
      </c>
      <c r="F191" s="1">
        <v>2266312.0</v>
      </c>
    </row>
    <row r="192">
      <c r="A192" s="1">
        <v>190.0</v>
      </c>
      <c r="B192" s="1" t="s">
        <v>205</v>
      </c>
      <c r="C192" s="1" t="s">
        <v>6</v>
      </c>
      <c r="D192" s="1">
        <v>2.0</v>
      </c>
      <c r="E192" s="1" t="s">
        <v>7</v>
      </c>
      <c r="F192" s="1">
        <v>1163045.0</v>
      </c>
    </row>
    <row r="193">
      <c r="A193" s="1">
        <v>191.0</v>
      </c>
      <c r="B193" s="1" t="s">
        <v>206</v>
      </c>
      <c r="C193" s="1" t="s">
        <v>6</v>
      </c>
      <c r="D193" s="1">
        <v>2.0</v>
      </c>
      <c r="E193" s="1" t="s">
        <v>7</v>
      </c>
      <c r="F193" s="1">
        <v>857370.0</v>
      </c>
    </row>
    <row r="194">
      <c r="A194" s="1">
        <v>192.0</v>
      </c>
      <c r="B194" s="1" t="s">
        <v>207</v>
      </c>
      <c r="C194" s="1" t="s">
        <v>6</v>
      </c>
      <c r="D194" s="1">
        <v>2.0</v>
      </c>
      <c r="E194" s="1" t="s">
        <v>7</v>
      </c>
      <c r="F194" s="1">
        <v>56808.0</v>
      </c>
    </row>
    <row r="195">
      <c r="A195" s="1">
        <v>193.0</v>
      </c>
      <c r="B195" s="1" t="s">
        <v>208</v>
      </c>
      <c r="C195" s="1" t="s">
        <v>6</v>
      </c>
      <c r="D195" s="1">
        <v>2.0</v>
      </c>
      <c r="E195" s="1" t="s">
        <v>7</v>
      </c>
      <c r="F195" s="1">
        <v>601398.0</v>
      </c>
    </row>
    <row r="196">
      <c r="A196" s="1">
        <v>194.0</v>
      </c>
      <c r="B196" s="1" t="s">
        <v>209</v>
      </c>
      <c r="C196" s="1" t="s">
        <v>6</v>
      </c>
      <c r="D196" s="1">
        <v>2.0</v>
      </c>
      <c r="E196" s="1" t="s">
        <v>7</v>
      </c>
      <c r="F196" s="1">
        <v>1574844.0</v>
      </c>
    </row>
    <row r="197">
      <c r="A197" s="1">
        <v>195.0</v>
      </c>
      <c r="B197" s="1" t="s">
        <v>40</v>
      </c>
      <c r="C197" s="1" t="s">
        <v>6</v>
      </c>
      <c r="D197" s="1">
        <v>2.0</v>
      </c>
      <c r="E197" s="1" t="s">
        <v>7</v>
      </c>
      <c r="F197" s="1">
        <v>70114.0</v>
      </c>
    </row>
    <row r="198">
      <c r="A198" s="1">
        <v>196.0</v>
      </c>
      <c r="B198" s="1" t="s">
        <v>210</v>
      </c>
      <c r="C198" s="1" t="s">
        <v>6</v>
      </c>
      <c r="D198" s="1">
        <v>2.0</v>
      </c>
      <c r="E198" s="1" t="s">
        <v>7</v>
      </c>
      <c r="F198" s="1">
        <v>549688.0</v>
      </c>
    </row>
    <row r="199">
      <c r="A199" s="1">
        <v>197.0</v>
      </c>
      <c r="B199" s="1" t="s">
        <v>211</v>
      </c>
      <c r="C199" s="1" t="s">
        <v>6</v>
      </c>
      <c r="D199" s="1">
        <v>2.0</v>
      </c>
      <c r="E199" s="1" t="s">
        <v>7</v>
      </c>
      <c r="F199" s="1">
        <v>1705561.0</v>
      </c>
    </row>
    <row r="200">
      <c r="A200" s="1">
        <v>198.0</v>
      </c>
      <c r="B200" s="1" t="s">
        <v>212</v>
      </c>
      <c r="C200" s="1" t="s">
        <v>6</v>
      </c>
      <c r="D200" s="1">
        <v>2.0</v>
      </c>
      <c r="E200" s="1" t="s">
        <v>7</v>
      </c>
      <c r="F200" s="1">
        <v>846242.0</v>
      </c>
    </row>
    <row r="201">
      <c r="A201" s="1">
        <v>199.0</v>
      </c>
      <c r="B201" s="1" t="s">
        <v>213</v>
      </c>
      <c r="C201" s="1" t="s">
        <v>6</v>
      </c>
      <c r="D201" s="1">
        <v>2.0</v>
      </c>
      <c r="E201" s="1" t="s">
        <v>7</v>
      </c>
      <c r="F201" s="1">
        <v>798116.0</v>
      </c>
    </row>
    <row r="202">
      <c r="A202" s="1">
        <v>200.0</v>
      </c>
      <c r="B202" s="1" t="s">
        <v>173</v>
      </c>
      <c r="C202" s="1" t="s">
        <v>6</v>
      </c>
      <c r="D202" s="1">
        <v>2.0</v>
      </c>
      <c r="E202" s="1" t="s">
        <v>7</v>
      </c>
      <c r="F202" s="1">
        <v>15033.0</v>
      </c>
    </row>
    <row r="203">
      <c r="A203" s="1">
        <v>201.0</v>
      </c>
      <c r="B203" s="1" t="s">
        <v>214</v>
      </c>
      <c r="C203" s="1" t="s">
        <v>6</v>
      </c>
      <c r="D203" s="1">
        <v>2.0</v>
      </c>
      <c r="E203" s="1" t="s">
        <v>7</v>
      </c>
      <c r="F203" s="1">
        <v>1164765.0</v>
      </c>
    </row>
    <row r="204">
      <c r="A204" s="1">
        <v>202.0</v>
      </c>
      <c r="B204" s="1" t="s">
        <v>215</v>
      </c>
      <c r="C204" s="1" t="s">
        <v>6</v>
      </c>
      <c r="D204" s="1">
        <v>2.0</v>
      </c>
      <c r="E204" s="1" t="s">
        <v>7</v>
      </c>
      <c r="F204" s="1">
        <v>112271.0</v>
      </c>
    </row>
    <row r="205">
      <c r="A205" s="1">
        <v>203.0</v>
      </c>
      <c r="B205" s="5" t="s">
        <v>216</v>
      </c>
      <c r="C205" s="1" t="s">
        <v>6</v>
      </c>
      <c r="D205" s="1">
        <v>2.0</v>
      </c>
      <c r="E205" s="1" t="s">
        <v>7</v>
      </c>
      <c r="F205" s="1">
        <v>500036.0</v>
      </c>
    </row>
    <row r="206">
      <c r="A206" s="1">
        <v>204.0</v>
      </c>
      <c r="B206" s="1" t="s">
        <v>217</v>
      </c>
      <c r="C206" s="1" t="s">
        <v>6</v>
      </c>
      <c r="D206" s="1">
        <v>2.0</v>
      </c>
      <c r="E206" s="1" t="s">
        <v>7</v>
      </c>
      <c r="F206" s="1">
        <v>638755.0</v>
      </c>
    </row>
    <row r="207">
      <c r="A207" s="1">
        <v>205.0</v>
      </c>
      <c r="B207" s="1" t="s">
        <v>218</v>
      </c>
      <c r="C207" s="1" t="s">
        <v>6</v>
      </c>
      <c r="D207" s="1">
        <v>2.0</v>
      </c>
      <c r="E207" s="1" t="s">
        <v>7</v>
      </c>
      <c r="F207" s="1">
        <v>100392.0</v>
      </c>
    </row>
    <row r="208">
      <c r="A208" s="1">
        <v>206.0</v>
      </c>
      <c r="B208" s="1" t="s">
        <v>219</v>
      </c>
      <c r="C208" s="1" t="s">
        <v>6</v>
      </c>
      <c r="D208" s="1">
        <v>2.0</v>
      </c>
      <c r="E208" s="1" t="s">
        <v>7</v>
      </c>
      <c r="F208" s="1">
        <v>12721.0</v>
      </c>
    </row>
    <row r="209">
      <c r="A209" s="1">
        <v>207.0</v>
      </c>
      <c r="B209" s="1" t="s">
        <v>220</v>
      </c>
      <c r="C209" s="1" t="s">
        <v>6</v>
      </c>
      <c r="D209" s="1">
        <v>2.0</v>
      </c>
      <c r="E209" s="1" t="s">
        <v>7</v>
      </c>
      <c r="F209" s="1">
        <v>874565.0</v>
      </c>
    </row>
    <row r="210">
      <c r="A210" s="1">
        <v>208.0</v>
      </c>
      <c r="B210" s="1" t="s">
        <v>221</v>
      </c>
      <c r="C210" s="1" t="s">
        <v>6</v>
      </c>
      <c r="D210" s="1">
        <v>2.0</v>
      </c>
      <c r="E210" s="1" t="s">
        <v>7</v>
      </c>
      <c r="F210" s="1">
        <v>53107.0</v>
      </c>
    </row>
    <row r="211">
      <c r="A211" s="1">
        <v>209.0</v>
      </c>
      <c r="B211" s="1" t="s">
        <v>222</v>
      </c>
      <c r="C211" s="1" t="s">
        <v>6</v>
      </c>
      <c r="D211" s="1">
        <v>2.0</v>
      </c>
      <c r="E211" s="1" t="s">
        <v>7</v>
      </c>
      <c r="F211" s="1">
        <v>954426.0</v>
      </c>
    </row>
    <row r="212">
      <c r="A212" s="1">
        <v>210.0</v>
      </c>
      <c r="B212" s="1" t="s">
        <v>223</v>
      </c>
      <c r="C212" s="1" t="s">
        <v>6</v>
      </c>
      <c r="D212" s="1">
        <v>2.0</v>
      </c>
      <c r="E212" s="1" t="s">
        <v>7</v>
      </c>
      <c r="F212" s="1">
        <v>77818.0</v>
      </c>
    </row>
    <row r="213">
      <c r="A213" s="1">
        <v>211.0</v>
      </c>
      <c r="B213" s="1" t="s">
        <v>224</v>
      </c>
      <c r="C213" s="1" t="s">
        <v>6</v>
      </c>
      <c r="D213" s="1">
        <v>2.0</v>
      </c>
      <c r="E213" s="1" t="s">
        <v>7</v>
      </c>
      <c r="F213" s="1">
        <v>1181838.0</v>
      </c>
    </row>
    <row r="214">
      <c r="A214" s="1">
        <v>212.0</v>
      </c>
      <c r="B214" s="1" t="s">
        <v>225</v>
      </c>
      <c r="C214" s="1" t="s">
        <v>6</v>
      </c>
      <c r="D214" s="1">
        <v>2.0</v>
      </c>
      <c r="E214" s="1" t="s">
        <v>7</v>
      </c>
      <c r="F214" s="1">
        <v>1068503.0</v>
      </c>
    </row>
    <row r="215">
      <c r="A215" s="1">
        <v>213.0</v>
      </c>
      <c r="B215" s="1" t="s">
        <v>31</v>
      </c>
      <c r="C215" s="1" t="s">
        <v>6</v>
      </c>
      <c r="D215" s="1">
        <v>2.0</v>
      </c>
      <c r="E215" s="1" t="s">
        <v>7</v>
      </c>
      <c r="F215" s="1">
        <v>83857.0</v>
      </c>
    </row>
    <row r="216">
      <c r="A216" s="1">
        <v>214.0</v>
      </c>
      <c r="B216" s="1" t="s">
        <v>226</v>
      </c>
      <c r="C216" s="1" t="s">
        <v>6</v>
      </c>
      <c r="D216" s="1">
        <v>2.0</v>
      </c>
      <c r="E216" s="1" t="s">
        <v>7</v>
      </c>
      <c r="F216" s="1">
        <v>1962841.0</v>
      </c>
    </row>
    <row r="217">
      <c r="A217" s="1">
        <v>215.0</v>
      </c>
      <c r="B217" s="1" t="s">
        <v>227</v>
      </c>
      <c r="C217" s="1" t="s">
        <v>6</v>
      </c>
      <c r="D217" s="1">
        <v>2.0</v>
      </c>
      <c r="E217" s="1" t="s">
        <v>7</v>
      </c>
      <c r="F217" s="1">
        <v>1104704.0</v>
      </c>
    </row>
    <row r="218">
      <c r="A218" s="1">
        <v>216.0</v>
      </c>
      <c r="B218" s="1" t="s">
        <v>228</v>
      </c>
      <c r="C218" s="1" t="s">
        <v>6</v>
      </c>
      <c r="D218" s="1">
        <v>2.0</v>
      </c>
      <c r="E218" s="1" t="s">
        <v>7</v>
      </c>
      <c r="F218" s="1">
        <v>1433708.0</v>
      </c>
    </row>
    <row r="219">
      <c r="A219" s="1">
        <v>217.0</v>
      </c>
      <c r="B219" s="1" t="s">
        <v>229</v>
      </c>
      <c r="C219" s="1" t="s">
        <v>6</v>
      </c>
      <c r="D219" s="1">
        <v>2.0</v>
      </c>
      <c r="E219" s="1" t="s">
        <v>7</v>
      </c>
      <c r="F219" s="1">
        <v>1929554.0</v>
      </c>
    </row>
    <row r="220">
      <c r="A220" s="1">
        <v>218.0</v>
      </c>
      <c r="B220" s="1" t="s">
        <v>230</v>
      </c>
      <c r="C220" s="1" t="s">
        <v>6</v>
      </c>
      <c r="D220" s="1">
        <v>2.0</v>
      </c>
      <c r="E220" s="1" t="s">
        <v>7</v>
      </c>
      <c r="F220" s="1">
        <v>2184214.0</v>
      </c>
    </row>
    <row r="221">
      <c r="A221" s="1">
        <v>219.0</v>
      </c>
      <c r="B221" s="1" t="s">
        <v>231</v>
      </c>
      <c r="C221" s="1" t="s">
        <v>6</v>
      </c>
      <c r="D221" s="1">
        <v>2.0</v>
      </c>
      <c r="E221" s="1" t="s">
        <v>7</v>
      </c>
      <c r="F221" s="1">
        <v>1039792.0</v>
      </c>
    </row>
    <row r="222">
      <c r="A222" s="1">
        <v>220.0</v>
      </c>
      <c r="B222" s="1" t="s">
        <v>232</v>
      </c>
      <c r="C222" s="1" t="s">
        <v>6</v>
      </c>
      <c r="D222" s="1">
        <v>2.0</v>
      </c>
      <c r="E222" s="1" t="s">
        <v>7</v>
      </c>
      <c r="F222" s="1">
        <v>831774.0</v>
      </c>
    </row>
    <row r="223">
      <c r="A223" s="1">
        <v>221.0</v>
      </c>
      <c r="B223" s="1" t="s">
        <v>233</v>
      </c>
      <c r="C223" s="1" t="s">
        <v>6</v>
      </c>
      <c r="D223" s="1">
        <v>2.0</v>
      </c>
      <c r="E223" s="1" t="s">
        <v>7</v>
      </c>
      <c r="F223" s="1">
        <v>2197572.0</v>
      </c>
    </row>
    <row r="224">
      <c r="A224" s="1">
        <v>222.0</v>
      </c>
      <c r="B224" s="1" t="s">
        <v>234</v>
      </c>
      <c r="C224" s="1" t="s">
        <v>6</v>
      </c>
      <c r="D224" s="1">
        <v>2.0</v>
      </c>
      <c r="E224" s="1" t="s">
        <v>7</v>
      </c>
      <c r="F224" s="1">
        <v>627332.0</v>
      </c>
    </row>
    <row r="225">
      <c r="A225" s="1">
        <v>223.0</v>
      </c>
      <c r="B225" s="1" t="s">
        <v>235</v>
      </c>
      <c r="C225" s="1" t="s">
        <v>6</v>
      </c>
      <c r="D225" s="1">
        <v>2.0</v>
      </c>
      <c r="E225" s="1" t="s">
        <v>7</v>
      </c>
      <c r="F225" s="1">
        <v>827767.0</v>
      </c>
    </row>
    <row r="226">
      <c r="A226" s="1">
        <v>224.0</v>
      </c>
      <c r="B226" s="1" t="s">
        <v>143</v>
      </c>
      <c r="C226" s="1" t="s">
        <v>6</v>
      </c>
      <c r="D226" s="1">
        <v>2.0</v>
      </c>
      <c r="E226" s="1" t="s">
        <v>7</v>
      </c>
      <c r="F226" s="1">
        <v>835.0</v>
      </c>
    </row>
    <row r="227">
      <c r="A227" s="1">
        <v>225.0</v>
      </c>
      <c r="B227" s="1" t="s">
        <v>236</v>
      </c>
      <c r="C227" s="1" t="s">
        <v>6</v>
      </c>
      <c r="D227" s="1">
        <v>2.0</v>
      </c>
      <c r="E227" s="1" t="s">
        <v>7</v>
      </c>
      <c r="F227" s="1">
        <v>776836.0</v>
      </c>
    </row>
    <row r="228">
      <c r="A228" s="1">
        <v>226.0</v>
      </c>
      <c r="B228" s="1" t="s">
        <v>160</v>
      </c>
      <c r="C228" s="1" t="s">
        <v>6</v>
      </c>
      <c r="D228" s="1">
        <v>2.0</v>
      </c>
      <c r="E228" s="1" t="s">
        <v>7</v>
      </c>
      <c r="F228" s="1">
        <v>29520.0</v>
      </c>
    </row>
    <row r="229">
      <c r="A229" s="1">
        <v>227.0</v>
      </c>
      <c r="B229" s="1" t="s">
        <v>237</v>
      </c>
      <c r="C229" s="1" t="s">
        <v>6</v>
      </c>
      <c r="D229" s="1">
        <v>2.0</v>
      </c>
      <c r="E229" s="1" t="s">
        <v>7</v>
      </c>
      <c r="F229" s="1">
        <v>1975545.0</v>
      </c>
    </row>
    <row r="230">
      <c r="A230" s="1">
        <v>228.0</v>
      </c>
      <c r="B230" s="1" t="s">
        <v>238</v>
      </c>
      <c r="C230" s="1" t="s">
        <v>6</v>
      </c>
      <c r="D230" s="1">
        <v>2.0</v>
      </c>
      <c r="E230" s="1" t="s">
        <v>7</v>
      </c>
      <c r="F230" s="1">
        <v>781491.0</v>
      </c>
    </row>
    <row r="231">
      <c r="A231" s="1">
        <v>229.0</v>
      </c>
      <c r="B231" s="1" t="s">
        <v>239</v>
      </c>
      <c r="C231" s="1" t="s">
        <v>6</v>
      </c>
      <c r="D231" s="1">
        <v>2.0</v>
      </c>
      <c r="E231" s="1" t="s">
        <v>7</v>
      </c>
      <c r="F231" s="1">
        <v>1408375.0</v>
      </c>
    </row>
    <row r="232">
      <c r="A232" s="1">
        <v>230.0</v>
      </c>
      <c r="B232" s="1" t="s">
        <v>240</v>
      </c>
      <c r="C232" s="1" t="s">
        <v>6</v>
      </c>
      <c r="D232" s="1">
        <v>2.0</v>
      </c>
      <c r="E232" s="1" t="s">
        <v>7</v>
      </c>
      <c r="F232" s="1">
        <v>183.0</v>
      </c>
    </row>
    <row r="233">
      <c r="A233" s="1">
        <v>231.0</v>
      </c>
      <c r="B233" s="1" t="s">
        <v>241</v>
      </c>
      <c r="C233" s="1" t="s">
        <v>6</v>
      </c>
      <c r="D233" s="1">
        <v>2.0</v>
      </c>
      <c r="E233" s="1" t="s">
        <v>7</v>
      </c>
      <c r="F233" s="1">
        <v>2018938.0</v>
      </c>
    </row>
    <row r="234">
      <c r="A234" s="1">
        <v>232.0</v>
      </c>
      <c r="B234" s="1" t="s">
        <v>242</v>
      </c>
      <c r="C234" s="1" t="s">
        <v>6</v>
      </c>
      <c r="D234" s="1">
        <v>2.0</v>
      </c>
      <c r="E234" s="1" t="s">
        <v>7</v>
      </c>
      <c r="F234" s="1">
        <v>1256429.0</v>
      </c>
    </row>
    <row r="235">
      <c r="A235" s="1">
        <v>233.0</v>
      </c>
      <c r="B235" s="1" t="s">
        <v>9</v>
      </c>
      <c r="C235" s="1" t="s">
        <v>6</v>
      </c>
      <c r="D235" s="1">
        <v>2.0</v>
      </c>
      <c r="E235" s="1" t="s">
        <v>7</v>
      </c>
      <c r="F235" s="1">
        <v>118986.0</v>
      </c>
    </row>
    <row r="236">
      <c r="A236" s="1">
        <v>234.0</v>
      </c>
      <c r="B236" s="1" t="s">
        <v>11</v>
      </c>
      <c r="C236" s="1" t="s">
        <v>6</v>
      </c>
      <c r="D236" s="1">
        <v>2.0</v>
      </c>
      <c r="E236" s="1" t="s">
        <v>7</v>
      </c>
      <c r="F236" s="1">
        <v>59606.0</v>
      </c>
    </row>
    <row r="237">
      <c r="A237" s="1">
        <v>235.0</v>
      </c>
      <c r="B237" s="1" t="s">
        <v>243</v>
      </c>
      <c r="C237" s="1" t="s">
        <v>6</v>
      </c>
      <c r="D237" s="1">
        <v>2.0</v>
      </c>
      <c r="E237" s="1" t="s">
        <v>7</v>
      </c>
      <c r="F237" s="1">
        <v>243613.0</v>
      </c>
    </row>
    <row r="238">
      <c r="A238" s="1">
        <v>236.0</v>
      </c>
      <c r="B238" s="1" t="s">
        <v>244</v>
      </c>
      <c r="C238" s="1" t="s">
        <v>6</v>
      </c>
      <c r="D238" s="1">
        <v>2.0</v>
      </c>
      <c r="E238" s="1" t="s">
        <v>7</v>
      </c>
      <c r="F238" s="1">
        <v>747000.0</v>
      </c>
    </row>
    <row r="239">
      <c r="A239" s="1">
        <v>237.0</v>
      </c>
      <c r="B239" s="1" t="s">
        <v>245</v>
      </c>
      <c r="C239" s="1" t="s">
        <v>6</v>
      </c>
      <c r="D239" s="1">
        <v>2.0</v>
      </c>
      <c r="E239" s="1" t="s">
        <v>7</v>
      </c>
      <c r="F239" s="1">
        <v>1437318.0</v>
      </c>
    </row>
    <row r="240">
      <c r="A240" s="1">
        <v>238.0</v>
      </c>
      <c r="B240" s="1" t="s">
        <v>246</v>
      </c>
      <c r="C240" s="1" t="s">
        <v>6</v>
      </c>
      <c r="D240" s="1">
        <v>2.0</v>
      </c>
      <c r="E240" s="1" t="s">
        <v>7</v>
      </c>
      <c r="F240" s="1">
        <v>865467.0</v>
      </c>
    </row>
    <row r="241">
      <c r="A241" s="1">
        <v>239.0</v>
      </c>
      <c r="B241" s="1" t="s">
        <v>247</v>
      </c>
      <c r="C241" s="1" t="s">
        <v>6</v>
      </c>
      <c r="D241" s="1">
        <v>2.0</v>
      </c>
      <c r="E241" s="1" t="s">
        <v>7</v>
      </c>
      <c r="F241" s="1">
        <v>132347.0</v>
      </c>
    </row>
    <row r="242">
      <c r="A242" s="1">
        <v>240.0</v>
      </c>
      <c r="B242" s="1" t="s">
        <v>248</v>
      </c>
      <c r="C242" s="1" t="s">
        <v>6</v>
      </c>
      <c r="D242" s="1">
        <v>2.0</v>
      </c>
      <c r="E242" s="1" t="s">
        <v>7</v>
      </c>
      <c r="F242" s="1">
        <v>66161.0</v>
      </c>
    </row>
    <row r="243">
      <c r="A243" s="1">
        <v>241.0</v>
      </c>
      <c r="B243" s="1" t="s">
        <v>249</v>
      </c>
      <c r="C243" s="1" t="s">
        <v>6</v>
      </c>
      <c r="D243" s="1">
        <v>2.0</v>
      </c>
      <c r="E243" s="1" t="s">
        <v>7</v>
      </c>
      <c r="F243" s="1">
        <v>1277486.0</v>
      </c>
    </row>
    <row r="244">
      <c r="A244" s="1">
        <v>242.0</v>
      </c>
      <c r="B244" s="1" t="s">
        <v>250</v>
      </c>
      <c r="C244" s="1" t="s">
        <v>6</v>
      </c>
      <c r="D244" s="1">
        <v>2.0</v>
      </c>
      <c r="E244" s="1" t="s">
        <v>7</v>
      </c>
      <c r="F244" s="1">
        <v>820544.0</v>
      </c>
    </row>
    <row r="245">
      <c r="A245" s="1">
        <v>243.0</v>
      </c>
      <c r="B245" s="1" t="s">
        <v>251</v>
      </c>
      <c r="C245" s="1" t="s">
        <v>6</v>
      </c>
      <c r="D245" s="1">
        <v>2.0</v>
      </c>
      <c r="E245" s="1" t="s">
        <v>7</v>
      </c>
      <c r="F245" s="1">
        <v>1624875.0</v>
      </c>
    </row>
    <row r="246">
      <c r="A246" s="1">
        <v>244.0</v>
      </c>
      <c r="B246" s="1" t="s">
        <v>252</v>
      </c>
      <c r="C246" s="1" t="s">
        <v>6</v>
      </c>
      <c r="D246" s="1">
        <v>2.0</v>
      </c>
      <c r="E246" s="1" t="s">
        <v>7</v>
      </c>
      <c r="F246" s="1">
        <v>529123.0</v>
      </c>
    </row>
    <row r="247">
      <c r="A247" s="1">
        <v>245.0</v>
      </c>
      <c r="B247" s="1" t="s">
        <v>253</v>
      </c>
      <c r="C247" s="1" t="s">
        <v>6</v>
      </c>
      <c r="D247" s="1">
        <v>2.0</v>
      </c>
      <c r="E247" s="1" t="s">
        <v>7</v>
      </c>
      <c r="F247" s="1">
        <v>1392815.0</v>
      </c>
    </row>
    <row r="248">
      <c r="A248" s="1">
        <v>246.0</v>
      </c>
      <c r="B248" s="1" t="s">
        <v>254</v>
      </c>
      <c r="C248" s="1" t="s">
        <v>6</v>
      </c>
      <c r="D248" s="1">
        <v>2.0</v>
      </c>
      <c r="E248" s="1" t="s">
        <v>7</v>
      </c>
      <c r="F248" s="1">
        <v>2561949.0</v>
      </c>
    </row>
    <row r="249">
      <c r="A249" s="1">
        <v>247.0</v>
      </c>
      <c r="B249" s="1" t="s">
        <v>76</v>
      </c>
      <c r="C249" s="1" t="s">
        <v>6</v>
      </c>
      <c r="D249" s="1">
        <v>2.0</v>
      </c>
      <c r="E249" s="1" t="s">
        <v>7</v>
      </c>
      <c r="F249" s="1">
        <v>709784.0</v>
      </c>
    </row>
    <row r="250">
      <c r="A250" s="1">
        <v>248.0</v>
      </c>
      <c r="B250" s="1" t="s">
        <v>255</v>
      </c>
      <c r="C250" s="1" t="s">
        <v>6</v>
      </c>
      <c r="D250" s="1">
        <v>2.0</v>
      </c>
      <c r="E250" s="1" t="s">
        <v>7</v>
      </c>
      <c r="F250" s="1">
        <v>555530.0</v>
      </c>
    </row>
    <row r="251">
      <c r="A251" s="1">
        <v>249.0</v>
      </c>
      <c r="B251" s="1" t="s">
        <v>256</v>
      </c>
      <c r="C251" s="1" t="s">
        <v>6</v>
      </c>
      <c r="D251" s="1">
        <v>2.0</v>
      </c>
      <c r="E251" s="1" t="s">
        <v>7</v>
      </c>
      <c r="F251" s="1">
        <v>631299.0</v>
      </c>
    </row>
    <row r="252">
      <c r="A252" s="1">
        <v>250.0</v>
      </c>
      <c r="B252" s="1" t="s">
        <v>257</v>
      </c>
      <c r="C252" s="1" t="s">
        <v>6</v>
      </c>
      <c r="D252" s="1">
        <v>2.0</v>
      </c>
      <c r="E252" s="1" t="s">
        <v>7</v>
      </c>
      <c r="F252" s="1">
        <v>1588612.0</v>
      </c>
    </row>
    <row r="253">
      <c r="A253" s="1">
        <v>251.0</v>
      </c>
      <c r="B253" s="1" t="s">
        <v>258</v>
      </c>
      <c r="C253" s="1" t="s">
        <v>6</v>
      </c>
      <c r="D253" s="1">
        <v>2.0</v>
      </c>
      <c r="E253" s="1" t="s">
        <v>7</v>
      </c>
      <c r="F253" s="1">
        <v>75190.0</v>
      </c>
    </row>
    <row r="254">
      <c r="A254" s="1">
        <v>252.0</v>
      </c>
      <c r="B254" s="1" t="s">
        <v>259</v>
      </c>
      <c r="C254" s="1" t="s">
        <v>6</v>
      </c>
      <c r="D254" s="1">
        <v>2.0</v>
      </c>
      <c r="E254" s="1" t="s">
        <v>7</v>
      </c>
      <c r="F254" s="1">
        <v>2739727.0</v>
      </c>
    </row>
    <row r="255">
      <c r="A255" s="1">
        <v>253.0</v>
      </c>
      <c r="B255" s="1" t="s">
        <v>260</v>
      </c>
      <c r="C255" s="1" t="s">
        <v>6</v>
      </c>
      <c r="D255" s="1">
        <v>1.0</v>
      </c>
      <c r="E255" s="1" t="s">
        <v>7</v>
      </c>
      <c r="F255" s="1">
        <v>589007.0</v>
      </c>
    </row>
    <row r="256">
      <c r="A256" s="1">
        <v>254.0</v>
      </c>
      <c r="B256" s="1" t="s">
        <v>261</v>
      </c>
      <c r="C256" s="1" t="s">
        <v>6</v>
      </c>
      <c r="D256" s="1">
        <v>1.0</v>
      </c>
      <c r="E256" s="1" t="s">
        <v>7</v>
      </c>
      <c r="F256" s="1">
        <v>2682633.0</v>
      </c>
    </row>
    <row r="257">
      <c r="A257" s="1">
        <v>255.0</v>
      </c>
      <c r="B257" s="1" t="s">
        <v>262</v>
      </c>
      <c r="C257" s="1" t="s">
        <v>6</v>
      </c>
      <c r="D257" s="1">
        <v>1.0</v>
      </c>
      <c r="E257" s="1" t="s">
        <v>7</v>
      </c>
      <c r="F257" s="1">
        <v>920903.0</v>
      </c>
    </row>
    <row r="258">
      <c r="A258" s="1">
        <v>256.0</v>
      </c>
      <c r="B258" s="1" t="s">
        <v>263</v>
      </c>
      <c r="C258" s="1" t="s">
        <v>6</v>
      </c>
      <c r="D258" s="1">
        <v>1.0</v>
      </c>
      <c r="E258" s="1" t="s">
        <v>7</v>
      </c>
      <c r="F258" s="1">
        <v>3095345.0</v>
      </c>
    </row>
    <row r="259">
      <c r="A259" s="1">
        <v>257.0</v>
      </c>
      <c r="B259" s="1" t="s">
        <v>264</v>
      </c>
      <c r="C259" s="1" t="s">
        <v>6</v>
      </c>
      <c r="D259" s="1">
        <v>1.0</v>
      </c>
      <c r="E259" s="1" t="s">
        <v>7</v>
      </c>
      <c r="F259" s="1">
        <v>1659175.0</v>
      </c>
    </row>
    <row r="260">
      <c r="A260" s="1">
        <v>258.0</v>
      </c>
      <c r="B260" s="1" t="s">
        <v>265</v>
      </c>
      <c r="C260" s="1" t="s">
        <v>6</v>
      </c>
      <c r="D260" s="1">
        <v>1.0</v>
      </c>
      <c r="E260" s="1" t="s">
        <v>7</v>
      </c>
      <c r="F260" s="1">
        <v>1292428.0</v>
      </c>
    </row>
    <row r="261">
      <c r="A261" s="1">
        <v>259.0</v>
      </c>
      <c r="B261" s="1" t="s">
        <v>266</v>
      </c>
      <c r="C261" s="1" t="s">
        <v>6</v>
      </c>
      <c r="D261" s="1">
        <v>1.0</v>
      </c>
      <c r="E261" s="1" t="s">
        <v>7</v>
      </c>
      <c r="F261" s="1">
        <v>561186.0</v>
      </c>
    </row>
    <row r="262">
      <c r="A262" s="1">
        <v>260.0</v>
      </c>
      <c r="B262" s="1" t="s">
        <v>267</v>
      </c>
      <c r="C262" s="1" t="s">
        <v>6</v>
      </c>
      <c r="D262" s="1">
        <v>1.0</v>
      </c>
      <c r="E262" s="1" t="s">
        <v>7</v>
      </c>
      <c r="F262" s="1">
        <v>1079751.0</v>
      </c>
    </row>
    <row r="263">
      <c r="A263" s="1">
        <v>261.0</v>
      </c>
      <c r="B263" s="1" t="s">
        <v>268</v>
      </c>
      <c r="C263" s="1" t="s">
        <v>6</v>
      </c>
      <c r="D263" s="1">
        <v>1.0</v>
      </c>
      <c r="E263" s="1" t="s">
        <v>7</v>
      </c>
      <c r="F263" s="1">
        <v>507740.0</v>
      </c>
    </row>
    <row r="264">
      <c r="A264" s="1">
        <v>262.0</v>
      </c>
      <c r="B264" s="1" t="s">
        <v>269</v>
      </c>
      <c r="C264" s="1" t="s">
        <v>6</v>
      </c>
      <c r="D264" s="1">
        <v>1.0</v>
      </c>
      <c r="E264" s="1" t="s">
        <v>7</v>
      </c>
      <c r="F264" s="1">
        <v>33320.0</v>
      </c>
    </row>
    <row r="265">
      <c r="A265" s="1">
        <v>263.0</v>
      </c>
      <c r="B265" s="1" t="s">
        <v>270</v>
      </c>
      <c r="C265" s="1" t="s">
        <v>6</v>
      </c>
      <c r="D265" s="1">
        <v>1.0</v>
      </c>
      <c r="E265" s="1" t="s">
        <v>7</v>
      </c>
      <c r="F265" s="1">
        <v>2204142.0</v>
      </c>
    </row>
    <row r="266">
      <c r="A266" s="1">
        <v>264.0</v>
      </c>
      <c r="B266" s="1" t="s">
        <v>271</v>
      </c>
      <c r="C266" s="1" t="s">
        <v>6</v>
      </c>
      <c r="D266" s="1">
        <v>1.0</v>
      </c>
      <c r="E266" s="1" t="s">
        <v>7</v>
      </c>
      <c r="F266" s="1">
        <v>313195.0</v>
      </c>
    </row>
    <row r="267">
      <c r="A267" s="1">
        <v>265.0</v>
      </c>
      <c r="B267" s="5" t="s">
        <v>272</v>
      </c>
      <c r="C267" s="1" t="s">
        <v>6</v>
      </c>
      <c r="D267" s="1">
        <v>1.0</v>
      </c>
      <c r="E267" s="1" t="s">
        <v>7</v>
      </c>
      <c r="F267" s="1">
        <v>46237.0</v>
      </c>
    </row>
    <row r="268">
      <c r="A268" s="1">
        <v>266.0</v>
      </c>
      <c r="B268" s="1" t="s">
        <v>273</v>
      </c>
      <c r="C268" s="1" t="s">
        <v>6</v>
      </c>
      <c r="D268" s="1">
        <v>1.0</v>
      </c>
      <c r="E268" s="1" t="s">
        <v>7</v>
      </c>
      <c r="F268" s="1">
        <v>353277.0</v>
      </c>
    </row>
    <row r="269">
      <c r="A269" s="1">
        <v>267.0</v>
      </c>
      <c r="B269" s="1" t="s">
        <v>274</v>
      </c>
      <c r="C269" s="1" t="s">
        <v>6</v>
      </c>
      <c r="D269" s="1">
        <v>1.0</v>
      </c>
      <c r="E269" s="1" t="s">
        <v>7</v>
      </c>
      <c r="F269" s="1">
        <v>458420.0</v>
      </c>
    </row>
    <row r="270">
      <c r="A270" s="1">
        <v>268.0</v>
      </c>
      <c r="B270" s="1" t="s">
        <v>275</v>
      </c>
      <c r="C270" s="1" t="s">
        <v>6</v>
      </c>
      <c r="D270" s="1">
        <v>1.0</v>
      </c>
      <c r="E270" s="1" t="s">
        <v>7</v>
      </c>
      <c r="F270" s="1">
        <v>1924646.0</v>
      </c>
    </row>
    <row r="271">
      <c r="A271" s="1">
        <v>269.0</v>
      </c>
      <c r="B271" s="1" t="s">
        <v>276</v>
      </c>
      <c r="C271" s="1" t="s">
        <v>6</v>
      </c>
      <c r="D271" s="1">
        <v>1.0</v>
      </c>
      <c r="E271" s="1" t="s">
        <v>7</v>
      </c>
      <c r="F271" s="1">
        <v>55000.0</v>
      </c>
    </row>
    <row r="272">
      <c r="A272" s="1">
        <v>270.0</v>
      </c>
      <c r="B272" s="1" t="s">
        <v>277</v>
      </c>
      <c r="C272" s="1" t="s">
        <v>6</v>
      </c>
      <c r="D272" s="1">
        <v>1.0</v>
      </c>
      <c r="E272" s="1" t="s">
        <v>7</v>
      </c>
      <c r="F272" s="1">
        <v>636742.0</v>
      </c>
    </row>
    <row r="273">
      <c r="A273" s="1">
        <v>271.0</v>
      </c>
      <c r="B273" s="1" t="s">
        <v>278</v>
      </c>
      <c r="C273" s="1" t="s">
        <v>6</v>
      </c>
      <c r="D273" s="1">
        <v>1.0</v>
      </c>
      <c r="E273" s="1" t="s">
        <v>7</v>
      </c>
      <c r="F273" s="1">
        <v>370227.0</v>
      </c>
    </row>
    <row r="274">
      <c r="A274" s="1">
        <v>272.0</v>
      </c>
      <c r="B274" s="1" t="s">
        <v>279</v>
      </c>
      <c r="C274" s="1" t="s">
        <v>6</v>
      </c>
      <c r="D274" s="1">
        <v>1.0</v>
      </c>
      <c r="E274" s="1" t="s">
        <v>7</v>
      </c>
      <c r="F274" s="1">
        <v>1999227.0</v>
      </c>
    </row>
    <row r="275">
      <c r="A275" s="1">
        <v>273.0</v>
      </c>
      <c r="B275" s="1" t="s">
        <v>280</v>
      </c>
      <c r="C275" s="1" t="s">
        <v>6</v>
      </c>
      <c r="D275" s="1">
        <v>1.0</v>
      </c>
      <c r="E275" s="1" t="s">
        <v>7</v>
      </c>
      <c r="F275" s="1">
        <v>3530641.0</v>
      </c>
    </row>
    <row r="276">
      <c r="A276" s="1">
        <v>274.0</v>
      </c>
      <c r="B276" s="1" t="s">
        <v>281</v>
      </c>
      <c r="C276" s="1" t="s">
        <v>6</v>
      </c>
      <c r="D276" s="1">
        <v>1.0</v>
      </c>
      <c r="E276" s="1" t="s">
        <v>7</v>
      </c>
      <c r="F276" s="1">
        <v>1148909.0</v>
      </c>
    </row>
    <row r="277">
      <c r="A277" s="1">
        <v>275.0</v>
      </c>
      <c r="B277" s="1" t="s">
        <v>282</v>
      </c>
      <c r="C277" s="1" t="s">
        <v>6</v>
      </c>
      <c r="D277" s="1">
        <v>1.0</v>
      </c>
      <c r="E277" s="1" t="s">
        <v>7</v>
      </c>
      <c r="F277" s="1">
        <v>933286.0</v>
      </c>
    </row>
    <row r="278">
      <c r="A278" s="1">
        <v>276.0</v>
      </c>
      <c r="B278" s="1" t="s">
        <v>283</v>
      </c>
      <c r="C278" s="1" t="s">
        <v>6</v>
      </c>
      <c r="D278" s="1">
        <v>1.0</v>
      </c>
      <c r="E278" s="1" t="s">
        <v>7</v>
      </c>
      <c r="F278" s="1">
        <v>128464.0</v>
      </c>
    </row>
    <row r="279">
      <c r="A279" s="1">
        <v>277.0</v>
      </c>
      <c r="B279" s="1" t="s">
        <v>284</v>
      </c>
      <c r="C279" s="1" t="s">
        <v>6</v>
      </c>
      <c r="D279" s="1">
        <v>1.0</v>
      </c>
      <c r="E279" s="1" t="s">
        <v>7</v>
      </c>
      <c r="F279" s="1">
        <v>683496.0</v>
      </c>
    </row>
    <row r="280">
      <c r="A280" s="1">
        <v>278.0</v>
      </c>
      <c r="B280" s="1" t="s">
        <v>285</v>
      </c>
      <c r="C280" s="1" t="s">
        <v>6</v>
      </c>
      <c r="D280" s="1">
        <v>1.0</v>
      </c>
      <c r="E280" s="1" t="s">
        <v>7</v>
      </c>
      <c r="F280" s="1">
        <v>23.0</v>
      </c>
    </row>
    <row r="281">
      <c r="A281" s="1">
        <v>279.0</v>
      </c>
      <c r="B281" s="1" t="s">
        <v>286</v>
      </c>
      <c r="C281" s="1" t="s">
        <v>6</v>
      </c>
      <c r="D281" s="1">
        <v>1.0</v>
      </c>
      <c r="E281" s="1" t="s">
        <v>7</v>
      </c>
      <c r="F281" s="1">
        <v>341109.0</v>
      </c>
    </row>
    <row r="282">
      <c r="A282" s="1">
        <v>280.0</v>
      </c>
      <c r="B282" s="1" t="s">
        <v>287</v>
      </c>
      <c r="C282" s="1" t="s">
        <v>6</v>
      </c>
      <c r="D282" s="1">
        <v>1.0</v>
      </c>
      <c r="E282" s="1" t="s">
        <v>7</v>
      </c>
      <c r="F282" s="1">
        <v>20880.0</v>
      </c>
    </row>
    <row r="283">
      <c r="A283" s="1">
        <v>281.0</v>
      </c>
      <c r="B283" s="1" t="s">
        <v>288</v>
      </c>
      <c r="C283" s="1" t="s">
        <v>6</v>
      </c>
      <c r="D283" s="1">
        <v>1.0</v>
      </c>
      <c r="E283" s="1" t="s">
        <v>7</v>
      </c>
      <c r="F283" s="1">
        <v>366410.0</v>
      </c>
    </row>
    <row r="284">
      <c r="A284" s="1">
        <v>282.0</v>
      </c>
      <c r="B284" s="1" t="s">
        <v>289</v>
      </c>
      <c r="C284" s="1" t="s">
        <v>6</v>
      </c>
      <c r="D284" s="1">
        <v>1.0</v>
      </c>
      <c r="E284" s="1" t="s">
        <v>7</v>
      </c>
      <c r="F284" s="1">
        <v>712525.0</v>
      </c>
    </row>
    <row r="285">
      <c r="A285" s="1">
        <v>283.0</v>
      </c>
      <c r="B285" s="1" t="s">
        <v>290</v>
      </c>
      <c r="C285" s="1" t="s">
        <v>6</v>
      </c>
      <c r="D285" s="1">
        <v>1.0</v>
      </c>
      <c r="E285" s="1" t="s">
        <v>7</v>
      </c>
      <c r="F285" s="1">
        <v>1269350.0</v>
      </c>
    </row>
    <row r="286">
      <c r="A286" s="1">
        <v>284.0</v>
      </c>
      <c r="B286" s="1" t="s">
        <v>291</v>
      </c>
      <c r="C286" s="1" t="s">
        <v>6</v>
      </c>
      <c r="D286" s="1">
        <v>1.0</v>
      </c>
      <c r="E286" s="1" t="s">
        <v>7</v>
      </c>
      <c r="F286" s="1">
        <v>75245.0</v>
      </c>
    </row>
    <row r="287">
      <c r="A287" s="1">
        <v>285.0</v>
      </c>
      <c r="B287" s="1" t="s">
        <v>292</v>
      </c>
      <c r="C287" s="1" t="s">
        <v>6</v>
      </c>
      <c r="D287" s="1">
        <v>1.0</v>
      </c>
      <c r="E287" s="1" t="s">
        <v>7</v>
      </c>
      <c r="F287" s="1">
        <v>41305.0</v>
      </c>
    </row>
    <row r="288">
      <c r="A288" s="1">
        <v>286.0</v>
      </c>
      <c r="B288" s="1" t="s">
        <v>293</v>
      </c>
      <c r="C288" s="1" t="s">
        <v>6</v>
      </c>
      <c r="D288" s="1">
        <v>1.0</v>
      </c>
      <c r="E288" s="1" t="s">
        <v>7</v>
      </c>
      <c r="F288" s="1">
        <v>481017.0</v>
      </c>
    </row>
    <row r="289">
      <c r="A289" s="1">
        <v>287.0</v>
      </c>
      <c r="B289" s="1" t="s">
        <v>294</v>
      </c>
      <c r="C289" s="1" t="s">
        <v>6</v>
      </c>
      <c r="D289" s="1">
        <v>1.0</v>
      </c>
      <c r="E289" s="1" t="s">
        <v>7</v>
      </c>
      <c r="F289" s="1">
        <v>140685.0</v>
      </c>
    </row>
    <row r="290">
      <c r="A290" s="1">
        <v>288.0</v>
      </c>
      <c r="B290" s="1" t="s">
        <v>295</v>
      </c>
      <c r="C290" s="1" t="s">
        <v>6</v>
      </c>
      <c r="D290" s="1">
        <v>1.0</v>
      </c>
      <c r="E290" s="1" t="s">
        <v>7</v>
      </c>
      <c r="F290" s="1">
        <v>1026478.0</v>
      </c>
    </row>
    <row r="291">
      <c r="A291" s="1">
        <v>289.0</v>
      </c>
      <c r="B291" s="1" t="s">
        <v>296</v>
      </c>
      <c r="C291" s="1" t="s">
        <v>6</v>
      </c>
      <c r="D291" s="1">
        <v>1.0</v>
      </c>
      <c r="E291" s="1" t="s">
        <v>7</v>
      </c>
      <c r="F291" s="1">
        <v>634675.0</v>
      </c>
    </row>
    <row r="292">
      <c r="A292" s="1">
        <v>290.0</v>
      </c>
      <c r="B292" s="1" t="s">
        <v>297</v>
      </c>
      <c r="C292" s="1" t="s">
        <v>6</v>
      </c>
      <c r="D292" s="1">
        <v>1.0</v>
      </c>
      <c r="E292" s="1" t="s">
        <v>7</v>
      </c>
      <c r="F292" s="1">
        <v>1078947.0</v>
      </c>
    </row>
    <row r="293">
      <c r="A293" s="1">
        <v>291.0</v>
      </c>
      <c r="B293" s="1" t="s">
        <v>298</v>
      </c>
      <c r="C293" s="1" t="s">
        <v>6</v>
      </c>
      <c r="D293" s="1">
        <v>1.0</v>
      </c>
      <c r="E293" s="1" t="s">
        <v>7</v>
      </c>
      <c r="F293" s="1">
        <v>3200000.0</v>
      </c>
    </row>
    <row r="294">
      <c r="A294" s="1">
        <v>292.0</v>
      </c>
      <c r="B294" s="1" t="s">
        <v>299</v>
      </c>
      <c r="C294" s="1" t="s">
        <v>6</v>
      </c>
      <c r="D294" s="1">
        <v>1.0</v>
      </c>
      <c r="E294" s="1" t="s">
        <v>7</v>
      </c>
      <c r="F294" s="1">
        <v>803916.0</v>
      </c>
    </row>
    <row r="295">
      <c r="A295" s="1">
        <v>293.0</v>
      </c>
      <c r="B295" s="1" t="s">
        <v>300</v>
      </c>
      <c r="C295" s="1" t="s">
        <v>6</v>
      </c>
      <c r="D295" s="1">
        <v>1.0</v>
      </c>
      <c r="E295" s="1" t="s">
        <v>7</v>
      </c>
      <c r="F295" s="1">
        <v>1134960.0</v>
      </c>
    </row>
    <row r="296">
      <c r="A296" s="1">
        <v>294.0</v>
      </c>
      <c r="B296" s="1" t="s">
        <v>301</v>
      </c>
      <c r="C296" s="1" t="s">
        <v>6</v>
      </c>
      <c r="D296" s="1">
        <v>1.0</v>
      </c>
      <c r="E296" s="1" t="s">
        <v>7</v>
      </c>
      <c r="F296" s="1">
        <v>2442736.0</v>
      </c>
    </row>
    <row r="297">
      <c r="A297" s="1">
        <v>295.0</v>
      </c>
      <c r="B297" s="1" t="s">
        <v>302</v>
      </c>
      <c r="C297" s="1" t="s">
        <v>6</v>
      </c>
      <c r="D297" s="1">
        <v>1.0</v>
      </c>
      <c r="E297" s="1" t="s">
        <v>7</v>
      </c>
      <c r="F297" s="1">
        <v>207746.0</v>
      </c>
    </row>
    <row r="298">
      <c r="A298" s="1">
        <v>296.0</v>
      </c>
      <c r="B298" s="1" t="s">
        <v>303</v>
      </c>
      <c r="C298" s="1" t="s">
        <v>6</v>
      </c>
      <c r="D298" s="1">
        <v>1.0</v>
      </c>
      <c r="E298" s="1" t="s">
        <v>7</v>
      </c>
      <c r="F298" s="1">
        <v>208801.0</v>
      </c>
    </row>
    <row r="299">
      <c r="A299" s="1">
        <v>297.0</v>
      </c>
      <c r="B299" s="1" t="s">
        <v>117</v>
      </c>
      <c r="C299" s="1" t="s">
        <v>6</v>
      </c>
      <c r="D299" s="1">
        <v>1.0</v>
      </c>
      <c r="E299" s="1" t="s">
        <v>7</v>
      </c>
      <c r="F299" s="1">
        <v>676.0</v>
      </c>
    </row>
    <row r="300">
      <c r="A300" s="1">
        <v>298.0</v>
      </c>
      <c r="B300" s="1" t="s">
        <v>304</v>
      </c>
      <c r="C300" s="1" t="s">
        <v>6</v>
      </c>
      <c r="D300" s="1">
        <v>1.0</v>
      </c>
      <c r="E300" s="1" t="s">
        <v>7</v>
      </c>
      <c r="F300" s="1">
        <v>342781.0</v>
      </c>
    </row>
    <row r="301">
      <c r="A301" s="1">
        <v>299.0</v>
      </c>
      <c r="B301" s="1" t="s">
        <v>305</v>
      </c>
      <c r="C301" s="1" t="s">
        <v>6</v>
      </c>
      <c r="D301" s="1">
        <v>1.0</v>
      </c>
      <c r="E301" s="1" t="s">
        <v>7</v>
      </c>
      <c r="F301" s="1">
        <v>1855822.0</v>
      </c>
    </row>
    <row r="302">
      <c r="A302" s="1">
        <v>300.0</v>
      </c>
      <c r="B302" s="1" t="s">
        <v>306</v>
      </c>
      <c r="C302" s="1" t="s">
        <v>6</v>
      </c>
      <c r="D302" s="1">
        <v>1.0</v>
      </c>
      <c r="E302" s="1" t="s">
        <v>7</v>
      </c>
      <c r="F302" s="1">
        <v>122137.0</v>
      </c>
    </row>
    <row r="303">
      <c r="A303" s="1">
        <v>301.0</v>
      </c>
      <c r="B303" s="5" t="s">
        <v>307</v>
      </c>
      <c r="C303" s="1" t="s">
        <v>6</v>
      </c>
      <c r="D303" s="1">
        <v>1.0</v>
      </c>
      <c r="E303" s="1" t="s">
        <v>7</v>
      </c>
      <c r="F303" s="1">
        <v>146564.0</v>
      </c>
    </row>
    <row r="304">
      <c r="A304" s="1">
        <v>302.0</v>
      </c>
      <c r="B304" s="1" t="s">
        <v>308</v>
      </c>
      <c r="C304" s="1" t="s">
        <v>6</v>
      </c>
      <c r="D304" s="1">
        <v>1.0</v>
      </c>
      <c r="E304" s="1" t="s">
        <v>7</v>
      </c>
      <c r="F304" s="1">
        <v>35424.0</v>
      </c>
    </row>
    <row r="305">
      <c r="A305" s="1">
        <v>303.0</v>
      </c>
      <c r="B305" s="1" t="s">
        <v>309</v>
      </c>
      <c r="C305" s="1" t="s">
        <v>6</v>
      </c>
      <c r="D305" s="1">
        <v>1.0</v>
      </c>
      <c r="E305" s="1" t="s">
        <v>7</v>
      </c>
      <c r="F305" s="1">
        <v>461.0</v>
      </c>
    </row>
    <row r="306">
      <c r="A306" s="1">
        <v>304.0</v>
      </c>
      <c r="B306" s="1" t="s">
        <v>310</v>
      </c>
      <c r="C306" s="1" t="s">
        <v>6</v>
      </c>
      <c r="D306" s="1">
        <v>1.0</v>
      </c>
      <c r="E306" s="1" t="s">
        <v>7</v>
      </c>
      <c r="F306" s="1">
        <v>1102652.0</v>
      </c>
    </row>
    <row r="307">
      <c r="A307" s="1">
        <v>305.0</v>
      </c>
      <c r="B307" s="1" t="s">
        <v>311</v>
      </c>
      <c r="C307" s="1" t="s">
        <v>6</v>
      </c>
      <c r="D307" s="1">
        <v>1.0</v>
      </c>
      <c r="E307" s="1" t="s">
        <v>7</v>
      </c>
      <c r="F307" s="1">
        <v>990712.0</v>
      </c>
    </row>
    <row r="308">
      <c r="A308" s="1">
        <v>306.0</v>
      </c>
      <c r="B308" s="1" t="s">
        <v>63</v>
      </c>
      <c r="C308" s="1" t="s">
        <v>6</v>
      </c>
      <c r="D308" s="1">
        <v>1.0</v>
      </c>
      <c r="E308" s="1" t="s">
        <v>7</v>
      </c>
      <c r="F308" s="1">
        <v>1.0</v>
      </c>
    </row>
    <row r="309">
      <c r="A309" s="1">
        <v>307.0</v>
      </c>
      <c r="B309" s="1" t="s">
        <v>106</v>
      </c>
      <c r="C309" s="1" t="s">
        <v>6</v>
      </c>
      <c r="D309" s="1">
        <v>1.0</v>
      </c>
      <c r="E309" s="1" t="s">
        <v>7</v>
      </c>
      <c r="F309" s="1">
        <v>45538.0</v>
      </c>
    </row>
    <row r="310">
      <c r="A310" s="1">
        <v>308.0</v>
      </c>
      <c r="B310" s="1" t="s">
        <v>312</v>
      </c>
      <c r="C310" s="1" t="s">
        <v>6</v>
      </c>
      <c r="D310" s="1">
        <v>1.0</v>
      </c>
      <c r="E310" s="1" t="s">
        <v>7</v>
      </c>
      <c r="F310" s="1">
        <v>61861.0</v>
      </c>
    </row>
    <row r="311">
      <c r="A311" s="1">
        <v>309.0</v>
      </c>
      <c r="B311" s="1" t="s">
        <v>313</v>
      </c>
      <c r="C311" s="1" t="s">
        <v>6</v>
      </c>
      <c r="D311" s="1">
        <v>1.0</v>
      </c>
      <c r="E311" s="1" t="s">
        <v>7</v>
      </c>
      <c r="F311" s="1">
        <v>1605217.0</v>
      </c>
    </row>
    <row r="312">
      <c r="A312" s="1">
        <v>310.0</v>
      </c>
      <c r="B312" s="1" t="s">
        <v>314</v>
      </c>
      <c r="C312" s="1" t="s">
        <v>6</v>
      </c>
      <c r="D312" s="1">
        <v>1.0</v>
      </c>
      <c r="E312" s="1" t="s">
        <v>7</v>
      </c>
      <c r="F312" s="1">
        <v>818581.0</v>
      </c>
    </row>
    <row r="313">
      <c r="A313" s="1">
        <v>311.0</v>
      </c>
      <c r="B313" s="1" t="s">
        <v>315</v>
      </c>
      <c r="C313" s="1" t="s">
        <v>6</v>
      </c>
      <c r="D313" s="1">
        <v>1.0</v>
      </c>
      <c r="E313" s="1" t="s">
        <v>7</v>
      </c>
      <c r="F313" s="1">
        <v>202796.0</v>
      </c>
    </row>
    <row r="314">
      <c r="A314" s="1">
        <v>312.0</v>
      </c>
      <c r="B314" s="1" t="s">
        <v>316</v>
      </c>
      <c r="C314" s="1" t="s">
        <v>6</v>
      </c>
      <c r="D314" s="1">
        <v>1.0</v>
      </c>
      <c r="E314" s="1" t="s">
        <v>7</v>
      </c>
      <c r="F314" s="1">
        <v>1176880.0</v>
      </c>
    </row>
    <row r="315">
      <c r="A315" s="1">
        <v>313.0</v>
      </c>
      <c r="B315" s="1" t="s">
        <v>317</v>
      </c>
      <c r="C315" s="1" t="s">
        <v>6</v>
      </c>
      <c r="D315" s="1">
        <v>1.0</v>
      </c>
      <c r="E315" s="1" t="s">
        <v>7</v>
      </c>
      <c r="F315" s="1">
        <v>62.0</v>
      </c>
    </row>
    <row r="316">
      <c r="A316" s="1">
        <v>314.0</v>
      </c>
      <c r="B316" s="1" t="s">
        <v>318</v>
      </c>
      <c r="C316" s="1" t="s">
        <v>6</v>
      </c>
      <c r="D316" s="1">
        <v>1.0</v>
      </c>
      <c r="E316" s="1" t="s">
        <v>7</v>
      </c>
      <c r="F316" s="1">
        <v>10936.0</v>
      </c>
    </row>
    <row r="317">
      <c r="A317" s="1">
        <v>315.0</v>
      </c>
      <c r="B317" s="1" t="s">
        <v>319</v>
      </c>
      <c r="C317" s="1" t="s">
        <v>6</v>
      </c>
      <c r="D317" s="1">
        <v>1.0</v>
      </c>
      <c r="E317" s="1" t="s">
        <v>7</v>
      </c>
      <c r="F317" s="1">
        <v>14988.0</v>
      </c>
    </row>
    <row r="318">
      <c r="A318" s="1">
        <v>316.0</v>
      </c>
      <c r="B318" s="1" t="s">
        <v>320</v>
      </c>
      <c r="C318" s="1" t="s">
        <v>6</v>
      </c>
      <c r="D318" s="1">
        <v>1.0</v>
      </c>
      <c r="E318" s="1" t="s">
        <v>7</v>
      </c>
      <c r="F318" s="1">
        <v>51.0</v>
      </c>
    </row>
    <row r="319">
      <c r="A319" s="1">
        <v>317.0</v>
      </c>
      <c r="B319" s="1" t="s">
        <v>321</v>
      </c>
      <c r="C319" s="1" t="s">
        <v>6</v>
      </c>
      <c r="D319" s="1">
        <v>1.0</v>
      </c>
      <c r="E319" s="1" t="s">
        <v>7</v>
      </c>
      <c r="F319" s="1">
        <v>1462163.0</v>
      </c>
    </row>
    <row r="320">
      <c r="A320" s="1">
        <v>318.0</v>
      </c>
      <c r="B320" s="1" t="s">
        <v>322</v>
      </c>
      <c r="C320" s="1" t="s">
        <v>6</v>
      </c>
      <c r="D320" s="1">
        <v>1.0</v>
      </c>
      <c r="E320" s="1" t="s">
        <v>7</v>
      </c>
      <c r="F320" s="1">
        <v>1574637.0</v>
      </c>
    </row>
    <row r="321">
      <c r="A321" s="1">
        <v>319.0</v>
      </c>
      <c r="B321" s="1" t="s">
        <v>74</v>
      </c>
      <c r="C321" s="1" t="s">
        <v>6</v>
      </c>
      <c r="D321" s="1">
        <v>1.0</v>
      </c>
      <c r="E321" s="1" t="s">
        <v>7</v>
      </c>
      <c r="F321" s="1">
        <v>27090.0</v>
      </c>
    </row>
    <row r="322">
      <c r="A322" s="1">
        <v>320.0</v>
      </c>
      <c r="B322" s="1" t="s">
        <v>323</v>
      </c>
      <c r="C322" s="1" t="s">
        <v>6</v>
      </c>
      <c r="D322" s="1">
        <v>1.0</v>
      </c>
      <c r="E322" s="1" t="s">
        <v>7</v>
      </c>
      <c r="F322" s="1">
        <v>23616.0</v>
      </c>
    </row>
    <row r="323">
      <c r="A323" s="1">
        <v>321.0</v>
      </c>
      <c r="B323" s="1" t="s">
        <v>324</v>
      </c>
      <c r="C323" s="1" t="s">
        <v>6</v>
      </c>
      <c r="D323" s="1">
        <v>1.0</v>
      </c>
      <c r="E323" s="1" t="s">
        <v>7</v>
      </c>
      <c r="F323" s="1">
        <v>306.0</v>
      </c>
    </row>
    <row r="324">
      <c r="A324" s="1">
        <v>322.0</v>
      </c>
      <c r="B324" s="1" t="s">
        <v>325</v>
      </c>
      <c r="C324" s="1" t="s">
        <v>6</v>
      </c>
      <c r="D324" s="1">
        <v>1.0</v>
      </c>
      <c r="E324" s="1" t="s">
        <v>7</v>
      </c>
      <c r="F324" s="1">
        <v>39599.0</v>
      </c>
    </row>
    <row r="325">
      <c r="A325" s="1">
        <v>323.0</v>
      </c>
      <c r="B325" s="1" t="s">
        <v>326</v>
      </c>
      <c r="C325" s="1" t="s">
        <v>6</v>
      </c>
      <c r="D325" s="1">
        <v>1.0</v>
      </c>
      <c r="E325" s="1" t="s">
        <v>7</v>
      </c>
      <c r="F325" s="1">
        <v>15348.0</v>
      </c>
    </row>
    <row r="326">
      <c r="A326" s="1">
        <v>324.0</v>
      </c>
      <c r="B326" s="1" t="s">
        <v>327</v>
      </c>
      <c r="C326" s="1" t="s">
        <v>6</v>
      </c>
      <c r="D326" s="1">
        <v>1.0</v>
      </c>
      <c r="E326" s="1" t="s">
        <v>7</v>
      </c>
      <c r="F326" s="1">
        <v>825425.0</v>
      </c>
    </row>
    <row r="327">
      <c r="A327" s="1">
        <v>325.0</v>
      </c>
      <c r="B327" s="1" t="s">
        <v>328</v>
      </c>
      <c r="C327" s="1" t="s">
        <v>6</v>
      </c>
      <c r="D327" s="1">
        <v>1.0</v>
      </c>
      <c r="E327" s="1" t="s">
        <v>7</v>
      </c>
      <c r="F327" s="1">
        <v>1972136.0</v>
      </c>
    </row>
    <row r="328">
      <c r="A328" s="1">
        <v>326.0</v>
      </c>
      <c r="B328" s="1" t="s">
        <v>329</v>
      </c>
      <c r="C328" s="1" t="s">
        <v>6</v>
      </c>
      <c r="D328" s="1">
        <v>1.0</v>
      </c>
      <c r="E328" s="1" t="s">
        <v>7</v>
      </c>
      <c r="F328" s="1">
        <v>23.0</v>
      </c>
    </row>
    <row r="329">
      <c r="A329" s="1">
        <v>327.0</v>
      </c>
      <c r="B329" s="1" t="s">
        <v>330</v>
      </c>
      <c r="C329" s="1" t="s">
        <v>6</v>
      </c>
      <c r="D329" s="1">
        <v>1.0</v>
      </c>
      <c r="E329" s="1" t="s">
        <v>7</v>
      </c>
      <c r="F329" s="1">
        <v>224948.0</v>
      </c>
    </row>
    <row r="330">
      <c r="A330" s="1">
        <v>328.0</v>
      </c>
      <c r="B330" s="1" t="s">
        <v>187</v>
      </c>
      <c r="C330" s="1" t="s">
        <v>6</v>
      </c>
      <c r="D330" s="1">
        <v>1.0</v>
      </c>
      <c r="E330" s="1" t="s">
        <v>7</v>
      </c>
      <c r="F330" s="1">
        <v>58159.0</v>
      </c>
    </row>
    <row r="331">
      <c r="A331" s="1">
        <v>329.0</v>
      </c>
      <c r="B331" s="1" t="s">
        <v>331</v>
      </c>
      <c r="C331" s="1" t="s">
        <v>6</v>
      </c>
      <c r="D331" s="1">
        <v>1.0</v>
      </c>
      <c r="E331" s="1" t="s">
        <v>7</v>
      </c>
      <c r="F331" s="1">
        <v>465.0</v>
      </c>
    </row>
    <row r="332">
      <c r="A332" s="1">
        <v>330.0</v>
      </c>
      <c r="B332" s="1" t="s">
        <v>332</v>
      </c>
      <c r="C332" s="1" t="s">
        <v>6</v>
      </c>
      <c r="D332" s="1">
        <v>1.0</v>
      </c>
      <c r="E332" s="1" t="s">
        <v>7</v>
      </c>
      <c r="F332" s="1">
        <v>5742016.0</v>
      </c>
    </row>
    <row r="333">
      <c r="A333" s="1">
        <v>331.0</v>
      </c>
      <c r="B333" s="1" t="s">
        <v>333</v>
      </c>
      <c r="C333" s="1" t="s">
        <v>6</v>
      </c>
      <c r="D333" s="1">
        <v>1.0</v>
      </c>
      <c r="E333" s="1" t="s">
        <v>7</v>
      </c>
      <c r="F333" s="1">
        <v>1343505.0</v>
      </c>
    </row>
    <row r="334">
      <c r="A334" s="1">
        <v>332.0</v>
      </c>
      <c r="B334" s="1" t="s">
        <v>334</v>
      </c>
      <c r="C334" s="1" t="s">
        <v>6</v>
      </c>
      <c r="D334" s="1">
        <v>1.0</v>
      </c>
      <c r="E334" s="1" t="s">
        <v>7</v>
      </c>
      <c r="F334" s="1">
        <v>1083371.0</v>
      </c>
    </row>
    <row r="335">
      <c r="A335" s="1">
        <v>333.0</v>
      </c>
      <c r="B335" s="1" t="s">
        <v>335</v>
      </c>
      <c r="C335" s="1" t="s">
        <v>6</v>
      </c>
      <c r="D335" s="1">
        <v>1.0</v>
      </c>
      <c r="E335" s="1" t="s">
        <v>7</v>
      </c>
      <c r="F335" s="1">
        <v>12384.0</v>
      </c>
    </row>
    <row r="336">
      <c r="A336" s="1">
        <v>334.0</v>
      </c>
      <c r="B336" s="1" t="s">
        <v>336</v>
      </c>
      <c r="C336" s="1" t="s">
        <v>6</v>
      </c>
      <c r="D336" s="1">
        <v>1.0</v>
      </c>
      <c r="E336" s="1" t="s">
        <v>7</v>
      </c>
      <c r="F336" s="1">
        <v>81858.0</v>
      </c>
    </row>
    <row r="337">
      <c r="A337" s="1">
        <v>335.0</v>
      </c>
      <c r="B337" s="1" t="s">
        <v>337</v>
      </c>
      <c r="C337" s="1" t="s">
        <v>6</v>
      </c>
      <c r="D337" s="1">
        <v>1.0</v>
      </c>
      <c r="E337" s="1" t="s">
        <v>7</v>
      </c>
      <c r="F337" s="1">
        <v>46.0</v>
      </c>
    </row>
    <row r="338">
      <c r="A338" s="1">
        <v>336.0</v>
      </c>
      <c r="B338" s="1" t="s">
        <v>338</v>
      </c>
      <c r="C338" s="1" t="s">
        <v>6</v>
      </c>
      <c r="D338" s="1">
        <v>1.0</v>
      </c>
      <c r="E338" s="1" t="s">
        <v>7</v>
      </c>
      <c r="F338" s="1">
        <v>1822656.0</v>
      </c>
    </row>
    <row r="339">
      <c r="A339" s="1">
        <v>337.0</v>
      </c>
      <c r="B339" s="1" t="s">
        <v>339</v>
      </c>
      <c r="C339" s="1" t="s">
        <v>6</v>
      </c>
      <c r="D339" s="1">
        <v>1.0</v>
      </c>
      <c r="E339" s="1" t="s">
        <v>7</v>
      </c>
      <c r="F339" s="1">
        <v>498832.0</v>
      </c>
    </row>
    <row r="340">
      <c r="A340" s="1">
        <v>338.0</v>
      </c>
      <c r="B340" s="1" t="s">
        <v>340</v>
      </c>
      <c r="C340" s="1" t="s">
        <v>6</v>
      </c>
      <c r="D340" s="1">
        <v>1.0</v>
      </c>
      <c r="E340" s="1" t="s">
        <v>7</v>
      </c>
      <c r="F340" s="1">
        <v>852479.0</v>
      </c>
    </row>
    <row r="341">
      <c r="A341" s="1">
        <v>339.0</v>
      </c>
      <c r="B341" s="1" t="s">
        <v>341</v>
      </c>
      <c r="C341" s="1" t="s">
        <v>6</v>
      </c>
      <c r="D341" s="1">
        <v>1.0</v>
      </c>
      <c r="E341" s="1" t="s">
        <v>7</v>
      </c>
      <c r="F341" s="1">
        <v>2106848.0</v>
      </c>
    </row>
    <row r="342">
      <c r="A342" s="1">
        <v>340.0</v>
      </c>
      <c r="B342" s="1" t="s">
        <v>342</v>
      </c>
      <c r="C342" s="1" t="s">
        <v>6</v>
      </c>
      <c r="D342" s="1">
        <v>1.0</v>
      </c>
      <c r="E342" s="1" t="s">
        <v>7</v>
      </c>
      <c r="F342" s="1">
        <v>444272.0</v>
      </c>
    </row>
    <row r="343">
      <c r="A343" s="1">
        <v>341.0</v>
      </c>
      <c r="B343" s="1" t="s">
        <v>343</v>
      </c>
      <c r="C343" s="1" t="s">
        <v>6</v>
      </c>
      <c r="D343" s="1">
        <v>1.0</v>
      </c>
      <c r="E343" s="1" t="s">
        <v>7</v>
      </c>
      <c r="F343" s="1">
        <v>349.0</v>
      </c>
    </row>
    <row r="344">
      <c r="A344" s="1">
        <v>342.0</v>
      </c>
      <c r="B344" s="1" t="s">
        <v>344</v>
      </c>
      <c r="C344" s="1" t="s">
        <v>6</v>
      </c>
      <c r="D344" s="1">
        <v>1.0</v>
      </c>
      <c r="E344" s="1" t="s">
        <v>7</v>
      </c>
      <c r="F344" s="1">
        <v>808.0</v>
      </c>
    </row>
    <row r="345">
      <c r="A345" s="1">
        <v>343.0</v>
      </c>
      <c r="B345" s="1" t="s">
        <v>345</v>
      </c>
      <c r="C345" s="1" t="s">
        <v>6</v>
      </c>
      <c r="D345" s="1">
        <v>1.0</v>
      </c>
      <c r="E345" s="1" t="s">
        <v>7</v>
      </c>
      <c r="F345" s="1">
        <v>711000.0</v>
      </c>
    </row>
    <row r="346">
      <c r="A346" s="1">
        <v>344.0</v>
      </c>
      <c r="B346" s="1" t="s">
        <v>346</v>
      </c>
      <c r="C346" s="1" t="s">
        <v>6</v>
      </c>
      <c r="D346" s="1">
        <v>1.0</v>
      </c>
      <c r="E346" s="1" t="s">
        <v>7</v>
      </c>
      <c r="F346" s="1">
        <v>32508.0</v>
      </c>
    </row>
    <row r="347">
      <c r="A347" s="1">
        <v>345.0</v>
      </c>
      <c r="B347" s="1" t="s">
        <v>347</v>
      </c>
      <c r="C347" s="1" t="s">
        <v>6</v>
      </c>
      <c r="D347" s="1">
        <v>1.0</v>
      </c>
      <c r="E347" s="1" t="s">
        <v>7</v>
      </c>
      <c r="F347" s="1">
        <v>1472145.0</v>
      </c>
    </row>
    <row r="348">
      <c r="A348" s="1">
        <v>346.0</v>
      </c>
      <c r="B348" s="1" t="s">
        <v>348</v>
      </c>
      <c r="C348" s="1" t="s">
        <v>6</v>
      </c>
      <c r="D348" s="1">
        <v>1.0</v>
      </c>
      <c r="E348" s="1" t="s">
        <v>7</v>
      </c>
      <c r="F348" s="1">
        <v>808.0</v>
      </c>
    </row>
    <row r="349">
      <c r="A349" s="1">
        <v>347.0</v>
      </c>
      <c r="B349" s="1" t="s">
        <v>349</v>
      </c>
      <c r="C349" s="1" t="s">
        <v>6</v>
      </c>
      <c r="D349" s="1">
        <v>1.0</v>
      </c>
      <c r="E349" s="1" t="s">
        <v>7</v>
      </c>
      <c r="F349" s="1">
        <v>1444788.0</v>
      </c>
    </row>
    <row r="350">
      <c r="A350" s="1">
        <v>348.0</v>
      </c>
      <c r="B350" s="1" t="s">
        <v>350</v>
      </c>
      <c r="C350" s="1" t="s">
        <v>6</v>
      </c>
      <c r="D350" s="1">
        <v>1.0</v>
      </c>
      <c r="E350" s="1" t="s">
        <v>7</v>
      </c>
      <c r="F350" s="1">
        <v>11107.0</v>
      </c>
    </row>
    <row r="351">
      <c r="A351" s="1">
        <v>349.0</v>
      </c>
      <c r="B351" s="1" t="s">
        <v>351</v>
      </c>
      <c r="C351" s="1" t="s">
        <v>6</v>
      </c>
      <c r="D351" s="1">
        <v>1.0</v>
      </c>
      <c r="E351" s="1" t="s">
        <v>7</v>
      </c>
      <c r="F351" s="1">
        <v>1220411.0</v>
      </c>
    </row>
    <row r="352">
      <c r="A352" s="1">
        <v>350.0</v>
      </c>
      <c r="B352" s="1" t="s">
        <v>352</v>
      </c>
      <c r="C352" s="1" t="s">
        <v>6</v>
      </c>
      <c r="D352" s="1">
        <v>1.0</v>
      </c>
      <c r="E352" s="1" t="s">
        <v>7</v>
      </c>
      <c r="F352" s="1">
        <v>1708322.0</v>
      </c>
    </row>
    <row r="353">
      <c r="A353" s="1">
        <v>351.0</v>
      </c>
      <c r="B353" s="1" t="s">
        <v>353</v>
      </c>
      <c r="C353" s="1" t="s">
        <v>6</v>
      </c>
      <c r="D353" s="1">
        <v>1.0</v>
      </c>
      <c r="E353" s="1" t="s">
        <v>7</v>
      </c>
      <c r="F353" s="1">
        <v>464302.0</v>
      </c>
    </row>
    <row r="354">
      <c r="A354" s="1">
        <v>352.0</v>
      </c>
      <c r="B354" s="1" t="s">
        <v>349</v>
      </c>
      <c r="C354" s="1" t="s">
        <v>6</v>
      </c>
      <c r="D354" s="1">
        <v>1.0</v>
      </c>
      <c r="E354" s="1" t="s">
        <v>7</v>
      </c>
      <c r="F354" s="1">
        <v>578857.0</v>
      </c>
    </row>
    <row r="355">
      <c r="A355" s="1">
        <v>353.0</v>
      </c>
      <c r="B355" s="1" t="s">
        <v>354</v>
      </c>
      <c r="C355" s="1" t="s">
        <v>6</v>
      </c>
      <c r="D355" s="1">
        <v>1.0</v>
      </c>
      <c r="E355" s="1" t="s">
        <v>7</v>
      </c>
      <c r="F355" s="1">
        <v>404424.0</v>
      </c>
    </row>
    <row r="356">
      <c r="A356" s="1">
        <v>354.0</v>
      </c>
      <c r="B356" s="1" t="s">
        <v>355</v>
      </c>
      <c r="C356" s="1" t="s">
        <v>6</v>
      </c>
      <c r="D356" s="1">
        <v>1.0</v>
      </c>
      <c r="E356" s="1" t="s">
        <v>7</v>
      </c>
      <c r="F356" s="1">
        <v>991803.0</v>
      </c>
    </row>
    <row r="357">
      <c r="A357" s="1">
        <v>355.0</v>
      </c>
      <c r="B357" s="1" t="s">
        <v>220</v>
      </c>
      <c r="C357" s="1" t="s">
        <v>6</v>
      </c>
      <c r="D357" s="1">
        <v>1.0</v>
      </c>
      <c r="E357" s="1" t="s">
        <v>7</v>
      </c>
      <c r="F357" s="1">
        <v>19246.0</v>
      </c>
    </row>
    <row r="358">
      <c r="A358" s="1">
        <v>356.0</v>
      </c>
      <c r="B358" s="1" t="s">
        <v>356</v>
      </c>
      <c r="C358" s="1" t="s">
        <v>6</v>
      </c>
      <c r="D358" s="1">
        <v>1.0</v>
      </c>
      <c r="E358" s="1" t="s">
        <v>7</v>
      </c>
      <c r="F358" s="1">
        <v>672260.0</v>
      </c>
    </row>
    <row r="359">
      <c r="A359" s="1">
        <v>357.0</v>
      </c>
      <c r="B359" s="1" t="s">
        <v>357</v>
      </c>
      <c r="C359" s="1" t="s">
        <v>6</v>
      </c>
      <c r="D359" s="1">
        <v>1.0</v>
      </c>
      <c r="E359" s="1" t="s">
        <v>7</v>
      </c>
      <c r="F359" s="1">
        <v>1399929.0</v>
      </c>
    </row>
    <row r="360">
      <c r="A360" s="1">
        <v>358.0</v>
      </c>
      <c r="B360" s="1" t="s">
        <v>358</v>
      </c>
      <c r="C360" s="1" t="s">
        <v>6</v>
      </c>
      <c r="D360" s="1">
        <v>1.0</v>
      </c>
      <c r="E360" s="1" t="s">
        <v>7</v>
      </c>
      <c r="F360" s="1">
        <v>307.0</v>
      </c>
    </row>
    <row r="361">
      <c r="A361" s="1">
        <v>359.0</v>
      </c>
      <c r="B361" s="1" t="s">
        <v>359</v>
      </c>
      <c r="C361" s="1" t="s">
        <v>6</v>
      </c>
      <c r="D361" s="1">
        <v>1.0</v>
      </c>
      <c r="E361" s="1" t="s">
        <v>7</v>
      </c>
      <c r="F361" s="1">
        <v>621103.0</v>
      </c>
    </row>
    <row r="362">
      <c r="A362" s="1">
        <v>360.0</v>
      </c>
      <c r="B362" s="1" t="s">
        <v>60</v>
      </c>
      <c r="C362" s="1" t="s">
        <v>6</v>
      </c>
      <c r="D362" s="1">
        <v>1.0</v>
      </c>
      <c r="E362" s="1" t="s">
        <v>7</v>
      </c>
      <c r="F362" s="1">
        <v>782543.0</v>
      </c>
    </row>
    <row r="363">
      <c r="A363" s="1">
        <v>361.0</v>
      </c>
      <c r="B363" s="1" t="s">
        <v>360</v>
      </c>
      <c r="C363" s="1" t="s">
        <v>6</v>
      </c>
      <c r="D363" s="1">
        <v>1.0</v>
      </c>
      <c r="E363" s="1" t="s">
        <v>7</v>
      </c>
      <c r="F363" s="1">
        <v>41479.0</v>
      </c>
    </row>
    <row r="364">
      <c r="A364" s="1">
        <v>362.0</v>
      </c>
      <c r="B364" s="1" t="s">
        <v>361</v>
      </c>
      <c r="C364" s="1" t="s">
        <v>6</v>
      </c>
      <c r="D364" s="1">
        <v>1.0</v>
      </c>
      <c r="E364" s="1" t="s">
        <v>7</v>
      </c>
      <c r="F364" s="1">
        <v>2034018.0</v>
      </c>
    </row>
    <row r="365">
      <c r="A365" s="1">
        <v>363.0</v>
      </c>
      <c r="B365" s="1" t="s">
        <v>362</v>
      </c>
      <c r="C365" s="1" t="s">
        <v>6</v>
      </c>
      <c r="D365" s="1">
        <v>1.0</v>
      </c>
      <c r="E365" s="1" t="s">
        <v>7</v>
      </c>
      <c r="F365" s="1">
        <v>1158483.0</v>
      </c>
    </row>
    <row r="366">
      <c r="A366" s="1">
        <v>364.0</v>
      </c>
      <c r="B366" s="1" t="s">
        <v>363</v>
      </c>
      <c r="C366" s="1" t="s">
        <v>6</v>
      </c>
      <c r="D366" s="1">
        <v>1.0</v>
      </c>
      <c r="E366" s="1" t="s">
        <v>7</v>
      </c>
      <c r="F366" s="1">
        <v>306.0</v>
      </c>
    </row>
    <row r="367">
      <c r="A367" s="1">
        <v>365.0</v>
      </c>
      <c r="B367" s="1" t="s">
        <v>364</v>
      </c>
      <c r="C367" s="1" t="s">
        <v>6</v>
      </c>
      <c r="D367" s="1">
        <v>1.0</v>
      </c>
      <c r="E367" s="1" t="s">
        <v>7</v>
      </c>
      <c r="F367" s="1">
        <v>21813.0</v>
      </c>
    </row>
    <row r="368">
      <c r="A368" s="1">
        <v>366.0</v>
      </c>
      <c r="B368" s="1" t="s">
        <v>365</v>
      </c>
      <c r="C368" s="1" t="s">
        <v>6</v>
      </c>
      <c r="D368" s="1">
        <v>1.0</v>
      </c>
      <c r="E368" s="1" t="s">
        <v>7</v>
      </c>
      <c r="F368" s="1">
        <v>455555.0</v>
      </c>
    </row>
    <row r="369">
      <c r="A369" s="1">
        <v>367.0</v>
      </c>
      <c r="B369" s="1" t="s">
        <v>366</v>
      </c>
      <c r="C369" s="1" t="s">
        <v>6</v>
      </c>
      <c r="D369" s="1">
        <v>1.0</v>
      </c>
      <c r="E369" s="1" t="s">
        <v>7</v>
      </c>
      <c r="F369" s="1">
        <v>1500.0</v>
      </c>
    </row>
    <row r="370">
      <c r="A370" s="1">
        <v>368.0</v>
      </c>
      <c r="B370" s="1" t="s">
        <v>367</v>
      </c>
      <c r="C370" s="1" t="s">
        <v>6</v>
      </c>
      <c r="D370" s="1">
        <v>1.0</v>
      </c>
      <c r="E370" s="1" t="s">
        <v>7</v>
      </c>
      <c r="F370" s="1">
        <v>1321256.0</v>
      </c>
    </row>
    <row r="371">
      <c r="A371" s="1">
        <v>369.0</v>
      </c>
      <c r="B371" s="1" t="s">
        <v>368</v>
      </c>
      <c r="C371" s="1" t="s">
        <v>6</v>
      </c>
      <c r="D371" s="1">
        <v>1.0</v>
      </c>
      <c r="E371" s="1" t="s">
        <v>7</v>
      </c>
      <c r="F371" s="1">
        <v>200.0</v>
      </c>
    </row>
    <row r="372">
      <c r="A372" s="1">
        <v>370.0</v>
      </c>
      <c r="B372" s="1" t="s">
        <v>369</v>
      </c>
      <c r="C372" s="1" t="s">
        <v>6</v>
      </c>
      <c r="D372" s="1">
        <v>1.0</v>
      </c>
      <c r="E372" s="1" t="s">
        <v>7</v>
      </c>
      <c r="F372" s="1">
        <v>637.0</v>
      </c>
    </row>
    <row r="373">
      <c r="A373" s="1">
        <v>371.0</v>
      </c>
      <c r="B373" s="5" t="s">
        <v>370</v>
      </c>
      <c r="C373" s="1" t="s">
        <v>6</v>
      </c>
      <c r="D373" s="1">
        <v>1.0</v>
      </c>
      <c r="E373" s="1" t="s">
        <v>7</v>
      </c>
      <c r="F373" s="1">
        <v>3115175.0</v>
      </c>
    </row>
    <row r="374">
      <c r="A374" s="1">
        <v>372.0</v>
      </c>
      <c r="B374" s="1" t="s">
        <v>371</v>
      </c>
      <c r="C374" s="1" t="s">
        <v>6</v>
      </c>
      <c r="D374" s="1">
        <v>1.0</v>
      </c>
      <c r="E374" s="1" t="s">
        <v>7</v>
      </c>
      <c r="F374" s="1">
        <v>1348080.0</v>
      </c>
    </row>
    <row r="375">
      <c r="A375" s="1">
        <v>373.0</v>
      </c>
      <c r="B375" s="1" t="s">
        <v>372</v>
      </c>
      <c r="C375" s="1" t="s">
        <v>6</v>
      </c>
      <c r="D375" s="1">
        <v>1.0</v>
      </c>
      <c r="E375" s="1" t="s">
        <v>7</v>
      </c>
      <c r="F375" s="1">
        <v>51.0</v>
      </c>
    </row>
    <row r="376">
      <c r="A376" s="1">
        <v>374.0</v>
      </c>
      <c r="B376" s="1" t="s">
        <v>373</v>
      </c>
      <c r="C376" s="1" t="s">
        <v>6</v>
      </c>
      <c r="D376" s="1">
        <v>1.0</v>
      </c>
      <c r="E376" s="1" t="s">
        <v>7</v>
      </c>
      <c r="F376" s="1">
        <v>160580.0</v>
      </c>
    </row>
    <row r="377">
      <c r="A377" s="1">
        <v>375.0</v>
      </c>
      <c r="B377" s="5" t="s">
        <v>374</v>
      </c>
      <c r="C377" s="1" t="s">
        <v>6</v>
      </c>
      <c r="D377" s="1">
        <v>1.0</v>
      </c>
      <c r="E377" s="1" t="s">
        <v>7</v>
      </c>
      <c r="F377" s="1">
        <v>513743.0</v>
      </c>
    </row>
    <row r="378">
      <c r="A378" s="1">
        <v>376.0</v>
      </c>
      <c r="B378" s="1" t="s">
        <v>375</v>
      </c>
      <c r="C378" s="1" t="s">
        <v>6</v>
      </c>
      <c r="D378" s="1">
        <v>1.0</v>
      </c>
      <c r="E378" s="1" t="s">
        <v>7</v>
      </c>
      <c r="F378" s="1">
        <v>1490281.0</v>
      </c>
    </row>
    <row r="379">
      <c r="A379" s="1">
        <v>377.0</v>
      </c>
      <c r="B379" s="1" t="s">
        <v>376</v>
      </c>
      <c r="C379" s="1" t="s">
        <v>6</v>
      </c>
      <c r="D379" s="1">
        <v>1.0</v>
      </c>
      <c r="E379" s="1" t="s">
        <v>7</v>
      </c>
      <c r="F379" s="1">
        <v>4282144.0</v>
      </c>
    </row>
    <row r="380">
      <c r="A380" s="1">
        <v>378.0</v>
      </c>
      <c r="B380" s="5" t="s">
        <v>377</v>
      </c>
      <c r="C380" s="1" t="s">
        <v>6</v>
      </c>
      <c r="D380" s="1">
        <v>1.0</v>
      </c>
      <c r="E380" s="1" t="s">
        <v>7</v>
      </c>
      <c r="F380" s="1">
        <v>1381355.0</v>
      </c>
    </row>
    <row r="381">
      <c r="A381" s="1">
        <v>379.0</v>
      </c>
      <c r="B381" s="1" t="s">
        <v>378</v>
      </c>
      <c r="C381" s="1" t="s">
        <v>6</v>
      </c>
      <c r="D381" s="1">
        <v>1.0</v>
      </c>
      <c r="E381" s="1" t="s">
        <v>7</v>
      </c>
      <c r="F381" s="1">
        <v>1534839.0</v>
      </c>
    </row>
    <row r="382">
      <c r="A382" s="1">
        <v>380.0</v>
      </c>
      <c r="B382" s="1" t="s">
        <v>379</v>
      </c>
      <c r="C382" s="1" t="s">
        <v>6</v>
      </c>
      <c r="D382" s="1">
        <v>1.0</v>
      </c>
      <c r="E382" s="1" t="s">
        <v>7</v>
      </c>
      <c r="F382" s="1">
        <v>328796.0</v>
      </c>
    </row>
    <row r="383">
      <c r="A383" s="1">
        <v>381.0</v>
      </c>
      <c r="B383" s="1" t="s">
        <v>380</v>
      </c>
      <c r="C383" s="1" t="s">
        <v>6</v>
      </c>
      <c r="D383" s="1">
        <v>1.0</v>
      </c>
      <c r="E383" s="1" t="s">
        <v>7</v>
      </c>
      <c r="F383" s="1">
        <v>62219.0</v>
      </c>
    </row>
    <row r="384">
      <c r="A384" s="1">
        <v>382.0</v>
      </c>
      <c r="B384" s="1" t="s">
        <v>381</v>
      </c>
      <c r="C384" s="1" t="s">
        <v>6</v>
      </c>
      <c r="D384" s="1">
        <v>1.0</v>
      </c>
      <c r="E384" s="1" t="s">
        <v>7</v>
      </c>
      <c r="F384" s="1">
        <v>519365.0</v>
      </c>
    </row>
    <row r="385">
      <c r="A385" s="1">
        <v>383.0</v>
      </c>
      <c r="B385" s="1" t="s">
        <v>375</v>
      </c>
      <c r="C385" s="1" t="s">
        <v>6</v>
      </c>
      <c r="D385" s="1">
        <v>1.0</v>
      </c>
      <c r="E385" s="1" t="s">
        <v>7</v>
      </c>
      <c r="F385" s="1">
        <v>56606.0</v>
      </c>
    </row>
    <row r="386">
      <c r="A386" s="1">
        <v>384.0</v>
      </c>
      <c r="B386" s="1" t="s">
        <v>12</v>
      </c>
      <c r="C386" s="1" t="s">
        <v>6</v>
      </c>
      <c r="D386" s="1">
        <v>1.0</v>
      </c>
      <c r="E386" s="1" t="s">
        <v>7</v>
      </c>
      <c r="F386" s="1">
        <v>200979.0</v>
      </c>
    </row>
    <row r="387">
      <c r="A387" s="1">
        <v>385.0</v>
      </c>
      <c r="B387" s="1" t="s">
        <v>382</v>
      </c>
      <c r="C387" s="1" t="s">
        <v>6</v>
      </c>
      <c r="D387" s="1">
        <v>1.0</v>
      </c>
      <c r="E387" s="1" t="s">
        <v>7</v>
      </c>
      <c r="F387" s="1">
        <v>772648.0</v>
      </c>
    </row>
    <row r="388">
      <c r="A388" s="1">
        <v>386.0</v>
      </c>
      <c r="B388" s="1" t="s">
        <v>305</v>
      </c>
      <c r="C388" s="1" t="s">
        <v>6</v>
      </c>
      <c r="D388" s="1">
        <v>1.0</v>
      </c>
      <c r="E388" s="1" t="s">
        <v>7</v>
      </c>
      <c r="F388" s="1">
        <v>32808.0</v>
      </c>
    </row>
    <row r="389">
      <c r="A389" s="1">
        <v>387.0</v>
      </c>
      <c r="B389" s="1" t="s">
        <v>383</v>
      </c>
      <c r="C389" s="1" t="s">
        <v>6</v>
      </c>
      <c r="D389" s="1">
        <v>1.0</v>
      </c>
      <c r="E389" s="1" t="s">
        <v>7</v>
      </c>
      <c r="F389" s="1">
        <v>1825160.0</v>
      </c>
    </row>
    <row r="390">
      <c r="A390" s="1">
        <v>388.0</v>
      </c>
      <c r="B390" s="1" t="s">
        <v>306</v>
      </c>
      <c r="C390" s="1" t="s">
        <v>6</v>
      </c>
      <c r="D390" s="1">
        <v>1.0</v>
      </c>
      <c r="E390" s="1" t="s">
        <v>7</v>
      </c>
      <c r="F390" s="1">
        <v>3500000.0</v>
      </c>
    </row>
    <row r="391">
      <c r="A391" s="1">
        <v>389.0</v>
      </c>
      <c r="B391" s="1" t="s">
        <v>384</v>
      </c>
      <c r="C391" s="1" t="s">
        <v>6</v>
      </c>
      <c r="D391" s="1">
        <v>1.0</v>
      </c>
      <c r="E391" s="1" t="s">
        <v>7</v>
      </c>
      <c r="F391" s="1">
        <v>872604.0</v>
      </c>
    </row>
    <row r="392">
      <c r="A392" s="1">
        <v>390.0</v>
      </c>
      <c r="B392" s="1" t="s">
        <v>385</v>
      </c>
      <c r="C392" s="1" t="s">
        <v>6</v>
      </c>
      <c r="D392" s="1">
        <v>1.0</v>
      </c>
      <c r="E392" s="1" t="s">
        <v>7</v>
      </c>
      <c r="F392" s="1">
        <v>580150.0</v>
      </c>
    </row>
    <row r="393">
      <c r="A393" s="1">
        <v>391.0</v>
      </c>
      <c r="B393" s="1" t="s">
        <v>386</v>
      </c>
      <c r="C393" s="1" t="s">
        <v>6</v>
      </c>
      <c r="D393" s="1">
        <v>1.0</v>
      </c>
      <c r="E393" s="1" t="s">
        <v>7</v>
      </c>
      <c r="F393" s="1">
        <v>1124063.0</v>
      </c>
    </row>
    <row r="394">
      <c r="A394" s="1">
        <v>392.0</v>
      </c>
      <c r="B394" s="1" t="s">
        <v>387</v>
      </c>
      <c r="C394" s="1" t="s">
        <v>6</v>
      </c>
      <c r="D394" s="1">
        <v>1.0</v>
      </c>
      <c r="E394" s="1" t="s">
        <v>7</v>
      </c>
      <c r="F394" s="1">
        <v>75.0</v>
      </c>
    </row>
    <row r="395">
      <c r="A395" s="1">
        <v>393.0</v>
      </c>
      <c r="B395" s="1" t="s">
        <v>388</v>
      </c>
      <c r="C395" s="1" t="s">
        <v>6</v>
      </c>
      <c r="D395" s="1">
        <v>1.0</v>
      </c>
      <c r="E395" s="1" t="s">
        <v>7</v>
      </c>
      <c r="F395" s="1">
        <v>150.0</v>
      </c>
    </row>
    <row r="396">
      <c r="A396" s="1">
        <v>394.0</v>
      </c>
      <c r="B396" s="1" t="s">
        <v>389</v>
      </c>
      <c r="C396" s="1" t="s">
        <v>6</v>
      </c>
      <c r="D396" s="1">
        <v>1.0</v>
      </c>
      <c r="E396" s="1" t="s">
        <v>7</v>
      </c>
      <c r="F396" s="1">
        <v>27.0</v>
      </c>
    </row>
    <row r="397">
      <c r="A397" s="1">
        <v>395.0</v>
      </c>
      <c r="B397" s="1" t="s">
        <v>390</v>
      </c>
      <c r="C397" s="1" t="s">
        <v>6</v>
      </c>
      <c r="D397" s="1">
        <v>1.0</v>
      </c>
      <c r="E397" s="1" t="s">
        <v>7</v>
      </c>
      <c r="F397" s="1">
        <v>26122.0</v>
      </c>
    </row>
    <row r="398">
      <c r="A398" s="1">
        <v>396.0</v>
      </c>
      <c r="B398" s="1" t="s">
        <v>391</v>
      </c>
      <c r="C398" s="1" t="s">
        <v>6</v>
      </c>
      <c r="D398" s="1">
        <v>1.0</v>
      </c>
      <c r="E398" s="1" t="s">
        <v>7</v>
      </c>
      <c r="F398" s="1">
        <v>2903556.0</v>
      </c>
    </row>
    <row r="399">
      <c r="A399" s="1">
        <v>397.0</v>
      </c>
      <c r="B399" s="1" t="s">
        <v>392</v>
      </c>
      <c r="C399" s="1" t="s">
        <v>6</v>
      </c>
      <c r="D399" s="1">
        <v>1.0</v>
      </c>
      <c r="E399" s="1" t="s">
        <v>7</v>
      </c>
      <c r="F399" s="1">
        <v>1868000.0</v>
      </c>
    </row>
    <row r="400">
      <c r="A400" s="1">
        <v>398.0</v>
      </c>
      <c r="B400" s="1" t="s">
        <v>393</v>
      </c>
      <c r="C400" s="1" t="s">
        <v>6</v>
      </c>
      <c r="D400" s="1">
        <v>1.0</v>
      </c>
      <c r="E400" s="1" t="s">
        <v>7</v>
      </c>
      <c r="F400" s="1">
        <v>30418.0</v>
      </c>
    </row>
    <row r="401">
      <c r="A401" s="1">
        <v>399.0</v>
      </c>
      <c r="B401" s="1" t="s">
        <v>394</v>
      </c>
      <c r="C401" s="1" t="s">
        <v>6</v>
      </c>
      <c r="D401" s="1">
        <v>1.0</v>
      </c>
      <c r="E401" s="1" t="s">
        <v>7</v>
      </c>
      <c r="F401" s="1">
        <v>1709915.0</v>
      </c>
    </row>
    <row r="402">
      <c r="A402" s="1">
        <v>400.0</v>
      </c>
      <c r="B402" s="1" t="s">
        <v>395</v>
      </c>
      <c r="C402" s="1" t="s">
        <v>6</v>
      </c>
      <c r="D402" s="1">
        <v>1.0</v>
      </c>
      <c r="E402" s="1" t="s">
        <v>7</v>
      </c>
      <c r="F402" s="1">
        <v>1198038.0</v>
      </c>
    </row>
    <row r="403">
      <c r="A403" s="1">
        <v>401.0</v>
      </c>
      <c r="B403" s="1" t="s">
        <v>36</v>
      </c>
      <c r="C403" s="1" t="s">
        <v>6</v>
      </c>
      <c r="D403" s="1">
        <v>1.0</v>
      </c>
      <c r="E403" s="1" t="s">
        <v>7</v>
      </c>
      <c r="F403" s="1">
        <v>1103782.0</v>
      </c>
    </row>
    <row r="404">
      <c r="A404" s="1">
        <v>402.0</v>
      </c>
      <c r="B404" s="1" t="s">
        <v>396</v>
      </c>
      <c r="C404" s="1" t="s">
        <v>6</v>
      </c>
      <c r="D404" s="1">
        <v>1.0</v>
      </c>
      <c r="E404" s="1" t="s">
        <v>7</v>
      </c>
      <c r="F404" s="1">
        <v>950636.0</v>
      </c>
    </row>
    <row r="405">
      <c r="A405" s="1">
        <v>403.0</v>
      </c>
      <c r="B405" s="1" t="s">
        <v>397</v>
      </c>
      <c r="C405" s="1" t="s">
        <v>6</v>
      </c>
      <c r="D405" s="1">
        <v>1.0</v>
      </c>
      <c r="E405" s="1" t="s">
        <v>7</v>
      </c>
      <c r="F405" s="1">
        <v>2332149.0</v>
      </c>
    </row>
    <row r="406">
      <c r="A406" s="1">
        <v>404.0</v>
      </c>
      <c r="B406" s="1" t="s">
        <v>398</v>
      </c>
      <c r="C406" s="1" t="s">
        <v>6</v>
      </c>
      <c r="D406" s="1">
        <v>1.0</v>
      </c>
      <c r="E406" s="1" t="s">
        <v>7</v>
      </c>
      <c r="F406" s="1">
        <v>1477340.0</v>
      </c>
    </row>
    <row r="407">
      <c r="A407" s="1">
        <v>405.0</v>
      </c>
      <c r="B407" s="1" t="s">
        <v>399</v>
      </c>
      <c r="C407" s="1" t="s">
        <v>6</v>
      </c>
      <c r="D407" s="1">
        <v>1.0</v>
      </c>
      <c r="E407" s="1" t="s">
        <v>7</v>
      </c>
      <c r="F407" s="1">
        <v>1043598.0</v>
      </c>
    </row>
    <row r="408">
      <c r="A408" s="1">
        <v>406.0</v>
      </c>
      <c r="B408" s="1" t="s">
        <v>400</v>
      </c>
      <c r="C408" s="1" t="s">
        <v>6</v>
      </c>
      <c r="D408" s="1">
        <v>1.0</v>
      </c>
      <c r="E408" s="1" t="s">
        <v>7</v>
      </c>
      <c r="F408" s="1">
        <v>15049.0</v>
      </c>
    </row>
    <row r="409">
      <c r="A409" s="1">
        <v>407.0</v>
      </c>
      <c r="B409" s="1" t="s">
        <v>401</v>
      </c>
      <c r="C409" s="1" t="s">
        <v>6</v>
      </c>
      <c r="D409" s="1">
        <v>1.0</v>
      </c>
      <c r="E409" s="1" t="s">
        <v>7</v>
      </c>
      <c r="F409" s="1">
        <v>226047.0</v>
      </c>
    </row>
    <row r="410">
      <c r="A410" s="1">
        <v>408.0</v>
      </c>
      <c r="B410" s="1" t="s">
        <v>402</v>
      </c>
      <c r="C410" s="1" t="s">
        <v>6</v>
      </c>
      <c r="D410" s="1">
        <v>1.0</v>
      </c>
      <c r="E410" s="1" t="s">
        <v>7</v>
      </c>
      <c r="F410" s="1">
        <v>1225579.0</v>
      </c>
    </row>
    <row r="411">
      <c r="A411" s="1">
        <v>409.0</v>
      </c>
      <c r="B411" s="1" t="s">
        <v>83</v>
      </c>
      <c r="C411" s="1" t="s">
        <v>6</v>
      </c>
      <c r="D411" s="1">
        <v>1.0</v>
      </c>
      <c r="E411" s="1" t="s">
        <v>7</v>
      </c>
      <c r="F411" s="1">
        <v>54962.0</v>
      </c>
    </row>
    <row r="412">
      <c r="A412" s="1">
        <v>410.0</v>
      </c>
      <c r="B412" s="1" t="s">
        <v>403</v>
      </c>
      <c r="C412" s="1" t="s">
        <v>6</v>
      </c>
      <c r="D412" s="1">
        <v>1.0</v>
      </c>
      <c r="E412" s="1" t="s">
        <v>7</v>
      </c>
      <c r="F412" s="1">
        <v>1621204.0</v>
      </c>
    </row>
    <row r="413">
      <c r="A413" s="1">
        <v>411.0</v>
      </c>
      <c r="B413" s="1" t="s">
        <v>404</v>
      </c>
      <c r="C413" s="1" t="s">
        <v>6</v>
      </c>
      <c r="D413" s="1">
        <v>1.0</v>
      </c>
      <c r="E413" s="1" t="s">
        <v>7</v>
      </c>
      <c r="F413" s="1">
        <v>304193.0</v>
      </c>
    </row>
    <row r="414">
      <c r="A414" s="1">
        <v>412.0</v>
      </c>
      <c r="B414" s="1" t="s">
        <v>405</v>
      </c>
      <c r="C414" s="1" t="s">
        <v>6</v>
      </c>
      <c r="D414" s="1">
        <v>1.0</v>
      </c>
      <c r="E414" s="1" t="s">
        <v>7</v>
      </c>
      <c r="F414" s="1">
        <v>637.0</v>
      </c>
    </row>
    <row r="415">
      <c r="A415" s="1">
        <v>413.0</v>
      </c>
      <c r="B415" s="1" t="s">
        <v>406</v>
      </c>
      <c r="C415" s="1" t="s">
        <v>6</v>
      </c>
      <c r="D415" s="1">
        <v>1.0</v>
      </c>
      <c r="E415" s="1" t="s">
        <v>7</v>
      </c>
      <c r="F415" s="1">
        <v>344648.0</v>
      </c>
    </row>
    <row r="416">
      <c r="A416" s="1">
        <v>414.0</v>
      </c>
      <c r="B416" s="1" t="s">
        <v>407</v>
      </c>
      <c r="C416" s="1" t="s">
        <v>6</v>
      </c>
      <c r="D416" s="1">
        <v>1.0</v>
      </c>
      <c r="E416" s="1" t="s">
        <v>7</v>
      </c>
      <c r="F416" s="1">
        <v>63.0</v>
      </c>
    </row>
    <row r="417">
      <c r="A417" s="1">
        <v>415.0</v>
      </c>
      <c r="B417" s="1" t="s">
        <v>408</v>
      </c>
      <c r="C417" s="1" t="s">
        <v>6</v>
      </c>
      <c r="D417" s="1">
        <v>1.0</v>
      </c>
      <c r="E417" s="1" t="s">
        <v>7</v>
      </c>
      <c r="F417" s="1">
        <v>35306.0</v>
      </c>
    </row>
    <row r="418">
      <c r="A418" s="1">
        <v>416.0</v>
      </c>
      <c r="B418" s="1" t="s">
        <v>409</v>
      </c>
      <c r="C418" s="1" t="s">
        <v>6</v>
      </c>
      <c r="D418" s="1">
        <v>1.0</v>
      </c>
      <c r="E418" s="1" t="s">
        <v>7</v>
      </c>
      <c r="F418" s="1">
        <v>641727.0</v>
      </c>
    </row>
    <row r="419">
      <c r="A419" s="1">
        <v>417.0</v>
      </c>
      <c r="B419" s="1" t="s">
        <v>410</v>
      </c>
      <c r="C419" s="1" t="s">
        <v>6</v>
      </c>
      <c r="D419" s="1">
        <v>1.0</v>
      </c>
      <c r="E419" s="1" t="s">
        <v>7</v>
      </c>
      <c r="F419" s="1">
        <v>3070054.0</v>
      </c>
    </row>
    <row r="420">
      <c r="A420" s="1">
        <v>418.0</v>
      </c>
      <c r="B420" s="1" t="s">
        <v>411</v>
      </c>
      <c r="C420" s="1" t="s">
        <v>6</v>
      </c>
      <c r="D420" s="1">
        <v>1.0</v>
      </c>
      <c r="E420" s="1" t="s">
        <v>7</v>
      </c>
      <c r="F420" s="1">
        <v>30953.0</v>
      </c>
    </row>
    <row r="421">
      <c r="A421" s="1">
        <v>419.0</v>
      </c>
      <c r="B421" s="1" t="s">
        <v>412</v>
      </c>
      <c r="C421" s="1" t="s">
        <v>6</v>
      </c>
      <c r="D421" s="1">
        <v>1.0</v>
      </c>
      <c r="E421" s="1" t="s">
        <v>7</v>
      </c>
      <c r="F421" s="1">
        <v>1430000.0</v>
      </c>
    </row>
    <row r="422">
      <c r="A422" s="1">
        <v>420.0</v>
      </c>
      <c r="B422" s="1" t="s">
        <v>413</v>
      </c>
      <c r="C422" s="1" t="s">
        <v>6</v>
      </c>
      <c r="D422" s="1">
        <v>1.0</v>
      </c>
      <c r="E422" s="1" t="s">
        <v>7</v>
      </c>
      <c r="F422" s="1">
        <v>382412.0</v>
      </c>
    </row>
    <row r="423">
      <c r="A423" s="1">
        <v>421.0</v>
      </c>
      <c r="B423" s="1" t="s">
        <v>414</v>
      </c>
      <c r="C423" s="1" t="s">
        <v>6</v>
      </c>
      <c r="D423" s="1">
        <v>1.0</v>
      </c>
      <c r="E423" s="1" t="s">
        <v>7</v>
      </c>
      <c r="F423" s="1">
        <v>904403.0</v>
      </c>
    </row>
    <row r="424">
      <c r="A424" s="1">
        <v>422.0</v>
      </c>
      <c r="B424" s="1" t="s">
        <v>415</v>
      </c>
      <c r="C424" s="1" t="s">
        <v>6</v>
      </c>
      <c r="D424" s="1">
        <v>1.0</v>
      </c>
      <c r="E424" s="1" t="s">
        <v>7</v>
      </c>
      <c r="F424" s="1">
        <v>43081.0</v>
      </c>
    </row>
    <row r="425">
      <c r="A425" s="1">
        <v>423.0</v>
      </c>
      <c r="B425" s="1" t="s">
        <v>416</v>
      </c>
      <c r="C425" s="1" t="s">
        <v>6</v>
      </c>
      <c r="D425" s="1">
        <v>1.0</v>
      </c>
      <c r="E425" s="1" t="s">
        <v>7</v>
      </c>
      <c r="F425" s="1">
        <v>1980492.0</v>
      </c>
    </row>
    <row r="426">
      <c r="A426" s="1">
        <v>424.0</v>
      </c>
      <c r="B426" s="1" t="s">
        <v>35</v>
      </c>
      <c r="C426" s="1" t="s">
        <v>6</v>
      </c>
      <c r="D426" s="1">
        <v>1.0</v>
      </c>
      <c r="E426" s="1" t="s">
        <v>7</v>
      </c>
      <c r="F426" s="1">
        <v>9568943.0</v>
      </c>
    </row>
    <row r="427">
      <c r="A427" s="1">
        <v>425.0</v>
      </c>
      <c r="B427" s="1" t="s">
        <v>417</v>
      </c>
      <c r="C427" s="1" t="s">
        <v>6</v>
      </c>
      <c r="D427" s="1">
        <v>1.0</v>
      </c>
      <c r="E427" s="1" t="s">
        <v>7</v>
      </c>
      <c r="F427" s="1">
        <v>20740.0</v>
      </c>
    </row>
    <row r="428">
      <c r="A428" s="1">
        <v>426.0</v>
      </c>
      <c r="B428" s="1" t="s">
        <v>418</v>
      </c>
      <c r="C428" s="1" t="s">
        <v>6</v>
      </c>
      <c r="D428" s="1">
        <v>1.0</v>
      </c>
      <c r="E428" s="1" t="s">
        <v>7</v>
      </c>
      <c r="F428" s="1">
        <v>10318.0</v>
      </c>
    </row>
    <row r="429">
      <c r="A429" s="1">
        <v>427.0</v>
      </c>
      <c r="B429" s="1" t="s">
        <v>419</v>
      </c>
      <c r="C429" s="1" t="s">
        <v>6</v>
      </c>
      <c r="D429" s="1">
        <v>1.0</v>
      </c>
      <c r="E429" s="1" t="s">
        <v>7</v>
      </c>
      <c r="F429" s="1">
        <v>46750.0</v>
      </c>
    </row>
    <row r="430">
      <c r="A430" s="1">
        <v>428.0</v>
      </c>
      <c r="B430" s="1" t="s">
        <v>420</v>
      </c>
      <c r="C430" s="1" t="s">
        <v>6</v>
      </c>
      <c r="D430" s="1">
        <v>1.0</v>
      </c>
      <c r="E430" s="1" t="s">
        <v>7</v>
      </c>
      <c r="F430" s="1">
        <v>75.0</v>
      </c>
    </row>
    <row r="431">
      <c r="A431" s="1">
        <v>429.0</v>
      </c>
      <c r="B431" s="1" t="s">
        <v>421</v>
      </c>
      <c r="C431" s="1" t="s">
        <v>6</v>
      </c>
      <c r="D431" s="1">
        <v>1.0</v>
      </c>
      <c r="E431" s="1" t="s">
        <v>7</v>
      </c>
      <c r="F431" s="1">
        <v>1674802.0</v>
      </c>
    </row>
    <row r="432">
      <c r="A432" s="1">
        <v>430.0</v>
      </c>
      <c r="B432" s="1" t="s">
        <v>422</v>
      </c>
      <c r="C432" s="1" t="s">
        <v>6</v>
      </c>
      <c r="D432" s="1">
        <v>1.0</v>
      </c>
      <c r="E432" s="1" t="s">
        <v>7</v>
      </c>
      <c r="F432" s="1">
        <v>401958.0</v>
      </c>
    </row>
    <row r="433">
      <c r="A433" s="1">
        <v>431.0</v>
      </c>
      <c r="B433" s="1" t="s">
        <v>423</v>
      </c>
      <c r="C433" s="1" t="s">
        <v>6</v>
      </c>
      <c r="D433" s="1">
        <v>1.0</v>
      </c>
      <c r="E433" s="1" t="s">
        <v>7</v>
      </c>
      <c r="F433" s="1">
        <v>2360899.0</v>
      </c>
    </row>
    <row r="434">
      <c r="A434" s="1">
        <v>432.0</v>
      </c>
      <c r="B434" s="1" t="s">
        <v>424</v>
      </c>
      <c r="C434" s="1" t="s">
        <v>6</v>
      </c>
      <c r="D434" s="1">
        <v>1.0</v>
      </c>
      <c r="E434" s="1" t="s">
        <v>7</v>
      </c>
      <c r="F434" s="1">
        <v>845000.0</v>
      </c>
    </row>
    <row r="435">
      <c r="A435" s="1">
        <v>433.0</v>
      </c>
      <c r="B435" s="1" t="s">
        <v>425</v>
      </c>
      <c r="C435" s="1" t="s">
        <v>6</v>
      </c>
      <c r="D435" s="1">
        <v>1.0</v>
      </c>
      <c r="E435" s="1" t="s">
        <v>7</v>
      </c>
      <c r="F435" s="1">
        <v>1343505.0</v>
      </c>
    </row>
    <row r="436">
      <c r="A436" s="1">
        <v>434.0</v>
      </c>
      <c r="B436" s="1" t="s">
        <v>426</v>
      </c>
      <c r="C436" s="1" t="s">
        <v>6</v>
      </c>
      <c r="D436" s="1">
        <v>1.0</v>
      </c>
      <c r="E436" s="1" t="s">
        <v>7</v>
      </c>
      <c r="F436" s="1">
        <v>1517028.0</v>
      </c>
    </row>
    <row r="437">
      <c r="A437" s="1">
        <v>435.0</v>
      </c>
      <c r="B437" s="1" t="s">
        <v>427</v>
      </c>
      <c r="C437" s="1" t="s">
        <v>6</v>
      </c>
      <c r="D437" s="1">
        <v>1.0</v>
      </c>
      <c r="E437" s="1" t="s">
        <v>7</v>
      </c>
      <c r="F437" s="1">
        <v>259682.0</v>
      </c>
    </row>
    <row r="438">
      <c r="A438" s="1">
        <v>436.0</v>
      </c>
      <c r="B438" s="1" t="s">
        <v>428</v>
      </c>
      <c r="C438" s="1" t="s">
        <v>6</v>
      </c>
      <c r="D438" s="1">
        <v>1.0</v>
      </c>
      <c r="E438" s="1" t="s">
        <v>7</v>
      </c>
      <c r="F438" s="1">
        <v>18697.0</v>
      </c>
    </row>
    <row r="439">
      <c r="A439" s="1">
        <v>437.0</v>
      </c>
      <c r="B439" s="1" t="s">
        <v>429</v>
      </c>
      <c r="C439" s="1" t="s">
        <v>6</v>
      </c>
      <c r="D439" s="1">
        <v>1.0</v>
      </c>
      <c r="E439" s="1" t="s">
        <v>7</v>
      </c>
      <c r="F439" s="1">
        <v>208977.0</v>
      </c>
    </row>
    <row r="440">
      <c r="A440" s="1">
        <v>438.0</v>
      </c>
      <c r="B440" s="1" t="s">
        <v>430</v>
      </c>
      <c r="C440" s="1" t="s">
        <v>6</v>
      </c>
      <c r="D440" s="1">
        <v>1.0</v>
      </c>
      <c r="E440" s="1" t="s">
        <v>7</v>
      </c>
      <c r="F440" s="1">
        <v>26230.0</v>
      </c>
    </row>
    <row r="441">
      <c r="A441" s="1">
        <v>439.0</v>
      </c>
      <c r="B441" s="1" t="s">
        <v>431</v>
      </c>
      <c r="C441" s="1" t="s">
        <v>6</v>
      </c>
      <c r="D441" s="1">
        <v>1.0</v>
      </c>
      <c r="E441" s="1" t="s">
        <v>7</v>
      </c>
      <c r="F441" s="1">
        <v>206356.0</v>
      </c>
    </row>
    <row r="442">
      <c r="A442" s="1">
        <v>440.0</v>
      </c>
      <c r="B442" s="1" t="s">
        <v>432</v>
      </c>
      <c r="C442" s="1" t="s">
        <v>6</v>
      </c>
      <c r="D442" s="1">
        <v>1.0</v>
      </c>
      <c r="E442" s="1" t="s">
        <v>7</v>
      </c>
      <c r="F442" s="1">
        <v>462369.0</v>
      </c>
    </row>
    <row r="443">
      <c r="A443" s="1">
        <v>441.0</v>
      </c>
      <c r="B443" s="1" t="s">
        <v>433</v>
      </c>
      <c r="C443" s="1" t="s">
        <v>6</v>
      </c>
      <c r="D443" s="1">
        <v>1.0</v>
      </c>
      <c r="E443" s="1" t="s">
        <v>7</v>
      </c>
      <c r="F443" s="1">
        <v>212940.0</v>
      </c>
    </row>
    <row r="444">
      <c r="A444" s="1">
        <v>442.0</v>
      </c>
      <c r="B444" s="1" t="s">
        <v>434</v>
      </c>
      <c r="C444" s="1" t="s">
        <v>6</v>
      </c>
      <c r="D444" s="1">
        <v>1.0</v>
      </c>
      <c r="E444" s="1" t="s">
        <v>7</v>
      </c>
      <c r="F444" s="1">
        <v>1883009.0</v>
      </c>
    </row>
    <row r="445">
      <c r="A445" s="1">
        <v>443.0</v>
      </c>
      <c r="B445" s="1" t="s">
        <v>435</v>
      </c>
      <c r="C445" s="1" t="s">
        <v>6</v>
      </c>
      <c r="D445" s="1">
        <v>1.0</v>
      </c>
      <c r="E445" s="1" t="s">
        <v>7</v>
      </c>
      <c r="F445" s="1">
        <v>421370.0</v>
      </c>
    </row>
    <row r="446">
      <c r="A446" s="1">
        <v>444.0</v>
      </c>
      <c r="B446" s="1" t="s">
        <v>198</v>
      </c>
      <c r="C446" s="1" t="s">
        <v>6</v>
      </c>
      <c r="D446" s="1">
        <v>1.0</v>
      </c>
      <c r="E446" s="1" t="s">
        <v>7</v>
      </c>
      <c r="F446" s="1">
        <v>404907.0</v>
      </c>
    </row>
    <row r="447">
      <c r="A447" s="1">
        <v>445.0</v>
      </c>
      <c r="B447" s="1" t="s">
        <v>436</v>
      </c>
      <c r="C447" s="1" t="s">
        <v>6</v>
      </c>
      <c r="D447" s="1">
        <v>1.0</v>
      </c>
      <c r="E447" s="1" t="s">
        <v>7</v>
      </c>
      <c r="F447" s="1">
        <v>56.0</v>
      </c>
    </row>
    <row r="448">
      <c r="A448" s="1">
        <v>446.0</v>
      </c>
      <c r="B448" s="1" t="s">
        <v>437</v>
      </c>
      <c r="C448" s="1" t="s">
        <v>6</v>
      </c>
      <c r="D448" s="1">
        <v>1.0</v>
      </c>
      <c r="E448" s="1" t="s">
        <v>7</v>
      </c>
      <c r="F448" s="1">
        <v>49235.0</v>
      </c>
    </row>
    <row r="449">
      <c r="A449" s="1">
        <v>447.0</v>
      </c>
      <c r="B449" s="1" t="s">
        <v>438</v>
      </c>
      <c r="C449" s="1" t="s">
        <v>6</v>
      </c>
      <c r="D449" s="1">
        <v>1.0</v>
      </c>
      <c r="E449" s="1" t="s">
        <v>7</v>
      </c>
      <c r="F449" s="1">
        <v>1673063.0</v>
      </c>
    </row>
    <row r="450">
      <c r="A450" s="1">
        <v>448.0</v>
      </c>
      <c r="B450" s="1" t="s">
        <v>439</v>
      </c>
      <c r="C450" s="1" t="s">
        <v>6</v>
      </c>
      <c r="D450" s="1">
        <v>1.0</v>
      </c>
      <c r="E450" s="1" t="s">
        <v>7</v>
      </c>
      <c r="F450" s="1">
        <v>20584.0</v>
      </c>
    </row>
    <row r="451">
      <c r="A451" s="1">
        <v>449.0</v>
      </c>
      <c r="B451" s="1" t="s">
        <v>10</v>
      </c>
      <c r="C451" s="1" t="s">
        <v>6</v>
      </c>
      <c r="D451" s="1">
        <v>1.0</v>
      </c>
      <c r="E451" s="1" t="s">
        <v>7</v>
      </c>
      <c r="F451" s="1">
        <v>850169.0</v>
      </c>
    </row>
    <row r="452">
      <c r="A452" s="1">
        <v>450.0</v>
      </c>
      <c r="B452" s="1" t="s">
        <v>440</v>
      </c>
      <c r="C452" s="1" t="s">
        <v>6</v>
      </c>
      <c r="D452" s="1">
        <v>1.0</v>
      </c>
      <c r="E452" s="1" t="s">
        <v>7</v>
      </c>
      <c r="F452" s="1">
        <v>1163669.0</v>
      </c>
    </row>
    <row r="453">
      <c r="A453" s="1">
        <v>451.0</v>
      </c>
      <c r="B453" s="5" t="s">
        <v>441</v>
      </c>
      <c r="C453" s="1" t="s">
        <v>6</v>
      </c>
      <c r="D453" s="1">
        <v>1.0</v>
      </c>
      <c r="E453" s="1" t="s">
        <v>7</v>
      </c>
      <c r="F453" s="1">
        <v>1973587.0</v>
      </c>
    </row>
    <row r="454">
      <c r="A454" s="1">
        <v>452.0</v>
      </c>
      <c r="B454" s="1" t="s">
        <v>442</v>
      </c>
      <c r="C454" s="1" t="s">
        <v>6</v>
      </c>
      <c r="D454" s="1">
        <v>1.0</v>
      </c>
      <c r="E454" s="1" t="s">
        <v>7</v>
      </c>
      <c r="F454" s="1">
        <v>566.0</v>
      </c>
    </row>
    <row r="455">
      <c r="A455" s="1">
        <v>453.0</v>
      </c>
      <c r="B455" s="1" t="s">
        <v>443</v>
      </c>
      <c r="C455" s="1" t="s">
        <v>6</v>
      </c>
      <c r="D455" s="1">
        <v>1.0</v>
      </c>
      <c r="E455" s="1" t="s">
        <v>7</v>
      </c>
      <c r="F455" s="1">
        <v>370468.0</v>
      </c>
    </row>
    <row r="456">
      <c r="A456" s="1">
        <v>454.0</v>
      </c>
      <c r="B456" s="1" t="s">
        <v>417</v>
      </c>
      <c r="C456" s="1" t="s">
        <v>6</v>
      </c>
      <c r="D456" s="1">
        <v>1.0</v>
      </c>
      <c r="E456" s="1" t="s">
        <v>7</v>
      </c>
      <c r="F456" s="1">
        <v>811180.0</v>
      </c>
    </row>
    <row r="457">
      <c r="A457" s="1">
        <v>455.0</v>
      </c>
      <c r="B457" s="1" t="s">
        <v>444</v>
      </c>
      <c r="C457" s="1" t="s">
        <v>6</v>
      </c>
      <c r="D457" s="1">
        <v>1.0</v>
      </c>
      <c r="E457" s="1" t="s">
        <v>7</v>
      </c>
      <c r="F457" s="1">
        <v>11247.0</v>
      </c>
    </row>
    <row r="458">
      <c r="A458" s="1">
        <v>456.0</v>
      </c>
      <c r="B458" s="1" t="s">
        <v>220</v>
      </c>
      <c r="C458" s="1" t="s">
        <v>6</v>
      </c>
      <c r="D458" s="1">
        <v>1.0</v>
      </c>
      <c r="E458" s="1" t="s">
        <v>7</v>
      </c>
      <c r="F458" s="1">
        <v>622.0</v>
      </c>
    </row>
    <row r="459">
      <c r="A459" s="1">
        <v>457.0</v>
      </c>
      <c r="B459" s="1" t="s">
        <v>157</v>
      </c>
      <c r="C459" s="1" t="s">
        <v>6</v>
      </c>
      <c r="D459" s="1">
        <v>1.0</v>
      </c>
      <c r="E459" s="1" t="s">
        <v>7</v>
      </c>
      <c r="F459" s="1">
        <v>39366.0</v>
      </c>
    </row>
    <row r="460">
      <c r="A460" s="1">
        <v>458.0</v>
      </c>
      <c r="B460" s="1" t="s">
        <v>445</v>
      </c>
      <c r="C460" s="1" t="s">
        <v>6</v>
      </c>
      <c r="D460" s="1">
        <v>1.0</v>
      </c>
      <c r="E460" s="1" t="s">
        <v>7</v>
      </c>
      <c r="F460" s="1">
        <v>1027486.0</v>
      </c>
    </row>
    <row r="461">
      <c r="A461" s="1">
        <v>459.0</v>
      </c>
      <c r="B461" s="1" t="s">
        <v>446</v>
      </c>
      <c r="C461" s="1" t="s">
        <v>6</v>
      </c>
      <c r="D461" s="1">
        <v>1.0</v>
      </c>
      <c r="E461" s="1" t="s">
        <v>7</v>
      </c>
      <c r="F461" s="1">
        <v>371441.0</v>
      </c>
    </row>
    <row r="462">
      <c r="A462" s="1">
        <v>460.0</v>
      </c>
      <c r="B462" s="1" t="s">
        <v>447</v>
      </c>
      <c r="C462" s="1" t="s">
        <v>6</v>
      </c>
      <c r="D462" s="1">
        <v>1.0</v>
      </c>
      <c r="E462" s="1" t="s">
        <v>7</v>
      </c>
      <c r="F462" s="1">
        <v>1253863.0</v>
      </c>
    </row>
    <row r="463">
      <c r="A463" s="1">
        <v>461.0</v>
      </c>
      <c r="B463" s="1" t="s">
        <v>448</v>
      </c>
      <c r="C463" s="1" t="s">
        <v>6</v>
      </c>
      <c r="D463" s="1">
        <v>1.0</v>
      </c>
      <c r="E463" s="1" t="s">
        <v>7</v>
      </c>
      <c r="F463" s="1">
        <v>341748.0</v>
      </c>
    </row>
    <row r="464">
      <c r="A464" s="1">
        <v>462.0</v>
      </c>
      <c r="B464" s="1" t="s">
        <v>449</v>
      </c>
      <c r="C464" s="1" t="s">
        <v>6</v>
      </c>
      <c r="D464" s="1">
        <v>1.0</v>
      </c>
      <c r="E464" s="1" t="s">
        <v>7</v>
      </c>
      <c r="F464" s="1">
        <v>5995002.0</v>
      </c>
    </row>
    <row r="465">
      <c r="A465" s="1">
        <v>463.0</v>
      </c>
      <c r="B465" s="1" t="s">
        <v>450</v>
      </c>
      <c r="C465" s="1" t="s">
        <v>6</v>
      </c>
      <c r="D465" s="1">
        <v>1.0</v>
      </c>
      <c r="E465" s="1" t="s">
        <v>7</v>
      </c>
      <c r="F465" s="1">
        <v>668498.0</v>
      </c>
    </row>
    <row r="466">
      <c r="A466" s="1">
        <v>464.0</v>
      </c>
      <c r="B466" s="1" t="s">
        <v>451</v>
      </c>
      <c r="C466" s="1" t="s">
        <v>6</v>
      </c>
      <c r="D466" s="1">
        <v>1.0</v>
      </c>
      <c r="E466" s="1" t="s">
        <v>7</v>
      </c>
      <c r="F466" s="1">
        <v>15438.0</v>
      </c>
    </row>
    <row r="467">
      <c r="A467" s="1">
        <v>465.0</v>
      </c>
      <c r="B467" s="1" t="s">
        <v>452</v>
      </c>
      <c r="C467" s="1" t="s">
        <v>6</v>
      </c>
      <c r="D467" s="1">
        <v>1.0</v>
      </c>
      <c r="E467" s="1" t="s">
        <v>7</v>
      </c>
      <c r="F467" s="1">
        <v>360220.0</v>
      </c>
    </row>
    <row r="468">
      <c r="A468" s="1">
        <v>466.0</v>
      </c>
      <c r="B468" s="1" t="s">
        <v>453</v>
      </c>
      <c r="C468" s="1" t="s">
        <v>6</v>
      </c>
      <c r="D468" s="1">
        <v>1.0</v>
      </c>
      <c r="E468" s="1" t="s">
        <v>7</v>
      </c>
      <c r="F468" s="1">
        <v>1994432.0</v>
      </c>
    </row>
    <row r="469">
      <c r="A469" s="1">
        <v>467.0</v>
      </c>
      <c r="B469" s="1" t="s">
        <v>143</v>
      </c>
      <c r="C469" s="1" t="s">
        <v>6</v>
      </c>
      <c r="D469" s="1">
        <v>1.0</v>
      </c>
      <c r="E469" s="1" t="s">
        <v>7</v>
      </c>
      <c r="F469" s="1">
        <v>488541.0</v>
      </c>
    </row>
    <row r="470">
      <c r="A470" s="1">
        <v>468.0</v>
      </c>
      <c r="B470" s="1" t="s">
        <v>454</v>
      </c>
      <c r="C470" s="1" t="s">
        <v>6</v>
      </c>
      <c r="D470" s="1">
        <v>1.0</v>
      </c>
      <c r="E470" s="1" t="s">
        <v>7</v>
      </c>
      <c r="F470" s="1">
        <v>1391697.0</v>
      </c>
    </row>
    <row r="471">
      <c r="A471" s="1">
        <v>469.0</v>
      </c>
      <c r="B471" s="1" t="s">
        <v>455</v>
      </c>
      <c r="C471" s="1" t="s">
        <v>6</v>
      </c>
      <c r="D471" s="1">
        <v>1.0</v>
      </c>
      <c r="E471" s="1" t="s">
        <v>7</v>
      </c>
      <c r="F471" s="1">
        <v>1298412.0</v>
      </c>
    </row>
    <row r="472">
      <c r="A472" s="1">
        <v>470.0</v>
      </c>
      <c r="B472" s="1" t="s">
        <v>456</v>
      </c>
      <c r="C472" s="1" t="s">
        <v>6</v>
      </c>
      <c r="D472" s="1">
        <v>1.0</v>
      </c>
      <c r="E472" s="1" t="s">
        <v>7</v>
      </c>
      <c r="F472" s="1">
        <v>2455743.0</v>
      </c>
    </row>
    <row r="473">
      <c r="A473" s="1">
        <v>471.0</v>
      </c>
      <c r="B473" s="1" t="s">
        <v>457</v>
      </c>
      <c r="C473" s="1" t="s">
        <v>6</v>
      </c>
      <c r="D473" s="1">
        <v>1.0</v>
      </c>
      <c r="E473" s="1" t="s">
        <v>7</v>
      </c>
      <c r="F473" s="1">
        <v>1708740.0</v>
      </c>
    </row>
    <row r="474">
      <c r="A474" s="1">
        <v>472.0</v>
      </c>
      <c r="B474" s="1" t="s">
        <v>458</v>
      </c>
      <c r="C474" s="1" t="s">
        <v>6</v>
      </c>
      <c r="D474" s="1">
        <v>1.0</v>
      </c>
      <c r="E474" s="1" t="s">
        <v>7</v>
      </c>
      <c r="F474" s="1">
        <v>7524456.0</v>
      </c>
    </row>
    <row r="475">
      <c r="A475" s="1">
        <v>473.0</v>
      </c>
      <c r="B475" s="1" t="s">
        <v>459</v>
      </c>
      <c r="C475" s="1" t="s">
        <v>6</v>
      </c>
      <c r="D475" s="1">
        <v>1.0</v>
      </c>
      <c r="E475" s="1" t="s">
        <v>7</v>
      </c>
      <c r="F475" s="1">
        <v>251393.0</v>
      </c>
    </row>
    <row r="476">
      <c r="A476" s="1">
        <v>474.0</v>
      </c>
      <c r="B476" s="1" t="s">
        <v>460</v>
      </c>
      <c r="C476" s="1" t="s">
        <v>6</v>
      </c>
      <c r="D476" s="1">
        <v>1.0</v>
      </c>
      <c r="E476" s="1" t="s">
        <v>7</v>
      </c>
      <c r="F476" s="1">
        <v>2376590.0</v>
      </c>
    </row>
    <row r="477">
      <c r="A477" s="1">
        <v>475.0</v>
      </c>
      <c r="B477" s="1" t="s">
        <v>461</v>
      </c>
      <c r="C477" s="1" t="s">
        <v>6</v>
      </c>
      <c r="D477" s="1">
        <v>1.0</v>
      </c>
      <c r="E477" s="1" t="s">
        <v>7</v>
      </c>
      <c r="F477" s="1">
        <v>1746726.0</v>
      </c>
    </row>
    <row r="478">
      <c r="A478" s="1">
        <v>476.0</v>
      </c>
      <c r="B478" s="1" t="s">
        <v>462</v>
      </c>
      <c r="C478" s="1" t="s">
        <v>6</v>
      </c>
      <c r="D478" s="1">
        <v>1.0</v>
      </c>
      <c r="E478" s="1" t="s">
        <v>7</v>
      </c>
      <c r="F478" s="1">
        <v>1.0</v>
      </c>
    </row>
    <row r="479">
      <c r="A479" s="1">
        <v>477.0</v>
      </c>
      <c r="B479" s="1" t="s">
        <v>463</v>
      </c>
      <c r="C479" s="1" t="s">
        <v>6</v>
      </c>
      <c r="D479" s="1">
        <v>1.0</v>
      </c>
      <c r="E479" s="1" t="s">
        <v>7</v>
      </c>
      <c r="F479" s="1">
        <v>325000.0</v>
      </c>
    </row>
    <row r="480">
      <c r="A480" s="1">
        <v>478.0</v>
      </c>
      <c r="B480" s="1" t="s">
        <v>186</v>
      </c>
      <c r="C480" s="1" t="s">
        <v>6</v>
      </c>
      <c r="D480" s="1">
        <v>1.0</v>
      </c>
      <c r="E480" s="1" t="s">
        <v>7</v>
      </c>
      <c r="F480" s="1">
        <v>74938.0</v>
      </c>
    </row>
    <row r="481">
      <c r="A481" s="1">
        <v>479.0</v>
      </c>
      <c r="B481" s="1" t="s">
        <v>464</v>
      </c>
      <c r="C481" s="1" t="s">
        <v>6</v>
      </c>
      <c r="D481" s="1">
        <v>1.0</v>
      </c>
      <c r="E481" s="1" t="s">
        <v>7</v>
      </c>
      <c r="F481" s="1">
        <v>1693803.0</v>
      </c>
    </row>
    <row r="482">
      <c r="A482" s="1">
        <v>480.0</v>
      </c>
      <c r="B482" s="1" t="s">
        <v>465</v>
      </c>
      <c r="C482" s="1" t="s">
        <v>6</v>
      </c>
      <c r="D482" s="1">
        <v>1.0</v>
      </c>
      <c r="E482" s="1" t="s">
        <v>7</v>
      </c>
      <c r="F482" s="1">
        <v>18199.0</v>
      </c>
    </row>
    <row r="483">
      <c r="A483" s="1">
        <v>481.0</v>
      </c>
      <c r="B483" s="1" t="s">
        <v>466</v>
      </c>
      <c r="C483" s="1" t="s">
        <v>6</v>
      </c>
      <c r="D483" s="1">
        <v>1.0</v>
      </c>
      <c r="E483" s="1" t="s">
        <v>7</v>
      </c>
      <c r="F483" s="1">
        <v>351141.0</v>
      </c>
    </row>
    <row r="484">
      <c r="A484" s="1">
        <v>482.0</v>
      </c>
      <c r="B484" s="1" t="s">
        <v>467</v>
      </c>
      <c r="C484" s="1" t="s">
        <v>6</v>
      </c>
      <c r="D484" s="1">
        <v>1.0</v>
      </c>
      <c r="E484" s="1" t="s">
        <v>7</v>
      </c>
      <c r="F484" s="1">
        <v>1849475.0</v>
      </c>
    </row>
    <row r="485">
      <c r="A485" s="1">
        <v>483.0</v>
      </c>
      <c r="B485" s="1" t="s">
        <v>468</v>
      </c>
      <c r="C485" s="1" t="s">
        <v>6</v>
      </c>
      <c r="D485" s="1">
        <v>1.0</v>
      </c>
      <c r="E485" s="1" t="s">
        <v>7</v>
      </c>
      <c r="F485" s="1">
        <v>108230.0</v>
      </c>
    </row>
    <row r="486">
      <c r="A486" s="1">
        <v>484.0</v>
      </c>
      <c r="B486" s="1" t="s">
        <v>469</v>
      </c>
      <c r="C486" s="1" t="s">
        <v>6</v>
      </c>
      <c r="D486" s="1">
        <v>1.0</v>
      </c>
      <c r="E486" s="1" t="s">
        <v>7</v>
      </c>
      <c r="F486" s="1">
        <v>999998.0</v>
      </c>
    </row>
    <row r="487">
      <c r="A487" s="1">
        <v>485.0</v>
      </c>
      <c r="B487" s="1" t="s">
        <v>470</v>
      </c>
      <c r="C487" s="1" t="s">
        <v>6</v>
      </c>
      <c r="D487" s="1">
        <v>1.0</v>
      </c>
      <c r="E487" s="1" t="s">
        <v>7</v>
      </c>
      <c r="F487" s="1">
        <v>37584.0</v>
      </c>
    </row>
    <row r="488">
      <c r="A488" s="1">
        <v>486.0</v>
      </c>
      <c r="B488" s="1" t="s">
        <v>471</v>
      </c>
      <c r="C488" s="1" t="s">
        <v>6</v>
      </c>
      <c r="D488" s="1">
        <v>1.0</v>
      </c>
      <c r="E488" s="1" t="s">
        <v>7</v>
      </c>
      <c r="F488" s="1">
        <v>161554.0</v>
      </c>
    </row>
    <row r="489">
      <c r="A489" s="1">
        <v>487.0</v>
      </c>
      <c r="B489" s="1" t="s">
        <v>472</v>
      </c>
      <c r="C489" s="1" t="s">
        <v>6</v>
      </c>
      <c r="D489" s="1">
        <v>1.0</v>
      </c>
      <c r="E489" s="1" t="s">
        <v>7</v>
      </c>
      <c r="F489" s="1">
        <v>846233.0</v>
      </c>
    </row>
    <row r="490">
      <c r="A490" s="1">
        <v>488.0</v>
      </c>
      <c r="B490" s="1" t="s">
        <v>473</v>
      </c>
      <c r="C490" s="1" t="s">
        <v>6</v>
      </c>
      <c r="D490" s="1">
        <v>1.0</v>
      </c>
      <c r="E490" s="1" t="s">
        <v>7</v>
      </c>
      <c r="F490" s="1">
        <v>2433547.0</v>
      </c>
    </row>
    <row r="491">
      <c r="A491" s="1">
        <v>489.0</v>
      </c>
      <c r="B491" s="1" t="s">
        <v>474</v>
      </c>
      <c r="C491" s="1" t="s">
        <v>6</v>
      </c>
      <c r="D491" s="1">
        <v>1.0</v>
      </c>
      <c r="E491" s="1" t="s">
        <v>7</v>
      </c>
      <c r="F491" s="1">
        <v>4514674.0</v>
      </c>
    </row>
    <row r="492">
      <c r="A492" s="1">
        <v>490.0</v>
      </c>
      <c r="B492" s="1" t="s">
        <v>475</v>
      </c>
      <c r="C492" s="1" t="s">
        <v>6</v>
      </c>
      <c r="D492" s="1">
        <v>1.0</v>
      </c>
      <c r="E492" s="1" t="s">
        <v>7</v>
      </c>
      <c r="F492" s="1">
        <v>38493.0</v>
      </c>
    </row>
    <row r="493">
      <c r="A493" s="1">
        <v>491.0</v>
      </c>
      <c r="B493" s="1" t="s">
        <v>476</v>
      </c>
      <c r="C493" s="1" t="s">
        <v>6</v>
      </c>
      <c r="D493" s="1">
        <v>1.0</v>
      </c>
      <c r="E493" s="1" t="s">
        <v>7</v>
      </c>
      <c r="F493" s="1">
        <v>700011.0</v>
      </c>
    </row>
    <row r="494">
      <c r="A494" s="1">
        <v>492.0</v>
      </c>
      <c r="B494" s="1" t="s">
        <v>477</v>
      </c>
      <c r="C494" s="1" t="s">
        <v>6</v>
      </c>
      <c r="D494" s="1">
        <v>1.0</v>
      </c>
      <c r="E494" s="1" t="s">
        <v>7</v>
      </c>
      <c r="F494" s="1">
        <v>617520.0</v>
      </c>
    </row>
    <row r="495">
      <c r="A495" s="1">
        <v>493.0</v>
      </c>
      <c r="B495" s="1" t="s">
        <v>279</v>
      </c>
      <c r="C495" s="1" t="s">
        <v>6</v>
      </c>
      <c r="D495" s="1">
        <v>1.0</v>
      </c>
      <c r="E495" s="1" t="s">
        <v>7</v>
      </c>
      <c r="F495" s="1">
        <v>11142.0</v>
      </c>
    </row>
    <row r="496">
      <c r="A496" s="1">
        <v>494.0</v>
      </c>
      <c r="B496" s="5" t="s">
        <v>374</v>
      </c>
      <c r="C496" s="1" t="s">
        <v>6</v>
      </c>
      <c r="D496" s="1">
        <v>1.0</v>
      </c>
      <c r="E496" s="1" t="s">
        <v>7</v>
      </c>
      <c r="F496" s="1">
        <v>730802.0</v>
      </c>
    </row>
    <row r="497">
      <c r="A497" s="1">
        <v>495.0</v>
      </c>
      <c r="B497" s="1" t="s">
        <v>478</v>
      </c>
      <c r="C497" s="1" t="s">
        <v>6</v>
      </c>
      <c r="D497" s="1">
        <v>1.0</v>
      </c>
      <c r="E497" s="1" t="s">
        <v>7</v>
      </c>
      <c r="F497" s="1">
        <v>1324539.0</v>
      </c>
    </row>
    <row r="498">
      <c r="A498" s="1">
        <v>496.0</v>
      </c>
      <c r="B498" s="1" t="s">
        <v>479</v>
      </c>
      <c r="C498" s="1" t="s">
        <v>6</v>
      </c>
      <c r="D498" s="1">
        <v>1.0</v>
      </c>
      <c r="E498" s="1" t="s">
        <v>7</v>
      </c>
      <c r="F498" s="1">
        <v>1983605.0</v>
      </c>
    </row>
    <row r="499">
      <c r="A499" s="1">
        <v>497.0</v>
      </c>
      <c r="B499" s="1" t="s">
        <v>480</v>
      </c>
      <c r="C499" s="1" t="s">
        <v>6</v>
      </c>
      <c r="D499" s="1">
        <v>1.0</v>
      </c>
      <c r="E499" s="1" t="s">
        <v>7</v>
      </c>
      <c r="F499" s="1">
        <v>44.0</v>
      </c>
    </row>
    <row r="500">
      <c r="A500" s="1">
        <v>498.0</v>
      </c>
      <c r="B500" s="1" t="s">
        <v>380</v>
      </c>
      <c r="C500" s="1" t="s">
        <v>6</v>
      </c>
      <c r="D500" s="1">
        <v>1.0</v>
      </c>
      <c r="E500" s="1" t="s">
        <v>7</v>
      </c>
      <c r="F500" s="1">
        <v>12381.0</v>
      </c>
    </row>
    <row r="501">
      <c r="A501" s="1">
        <v>499.0</v>
      </c>
      <c r="B501" s="1" t="s">
        <v>481</v>
      </c>
      <c r="C501" s="1" t="s">
        <v>6</v>
      </c>
      <c r="D501" s="1">
        <v>1.0</v>
      </c>
      <c r="E501" s="1" t="s">
        <v>7</v>
      </c>
      <c r="F501" s="1">
        <v>70655.0</v>
      </c>
    </row>
    <row r="502">
      <c r="A502" s="1">
        <v>500.0</v>
      </c>
      <c r="B502" s="1" t="s">
        <v>482</v>
      </c>
      <c r="C502" s="1" t="s">
        <v>6</v>
      </c>
      <c r="D502" s="1">
        <v>1.0</v>
      </c>
      <c r="E502" s="1" t="s">
        <v>7</v>
      </c>
      <c r="F502" s="1">
        <v>28119.0</v>
      </c>
    </row>
    <row r="503">
      <c r="A503" s="1">
        <v>501.0</v>
      </c>
      <c r="B503" s="1" t="s">
        <v>483</v>
      </c>
      <c r="C503" s="1" t="s">
        <v>6</v>
      </c>
      <c r="D503" s="1">
        <v>1.0</v>
      </c>
      <c r="E503" s="1" t="s">
        <v>7</v>
      </c>
      <c r="F503" s="1">
        <v>36143.0</v>
      </c>
    </row>
    <row r="504">
      <c r="A504" s="1">
        <v>502.0</v>
      </c>
      <c r="B504" s="1" t="s">
        <v>484</v>
      </c>
      <c r="C504" s="1" t="s">
        <v>6</v>
      </c>
      <c r="D504" s="1">
        <v>1.0</v>
      </c>
      <c r="E504" s="1" t="s">
        <v>7</v>
      </c>
      <c r="F504" s="1">
        <v>1937670.0</v>
      </c>
    </row>
    <row r="505">
      <c r="A505" s="1">
        <v>503.0</v>
      </c>
      <c r="B505" s="1" t="s">
        <v>485</v>
      </c>
      <c r="C505" s="1" t="s">
        <v>6</v>
      </c>
      <c r="D505" s="1">
        <v>1.0</v>
      </c>
      <c r="E505" s="1" t="s">
        <v>7</v>
      </c>
      <c r="F505" s="1">
        <v>189616.0</v>
      </c>
    </row>
    <row r="506">
      <c r="A506" s="1">
        <v>504.0</v>
      </c>
      <c r="B506" s="1" t="s">
        <v>486</v>
      </c>
      <c r="C506" s="1" t="s">
        <v>6</v>
      </c>
      <c r="D506" s="1">
        <v>1.0</v>
      </c>
      <c r="E506" s="1" t="s">
        <v>7</v>
      </c>
      <c r="F506" s="1">
        <v>1541228.0</v>
      </c>
    </row>
    <row r="507">
      <c r="A507" s="1">
        <v>505.0</v>
      </c>
      <c r="B507" s="1" t="s">
        <v>487</v>
      </c>
      <c r="C507" s="1" t="s">
        <v>6</v>
      </c>
      <c r="D507" s="1">
        <v>1.0</v>
      </c>
      <c r="E507" s="1" t="s">
        <v>7</v>
      </c>
      <c r="F507" s="1">
        <v>2194861.0</v>
      </c>
    </row>
    <row r="508">
      <c r="A508" s="1">
        <v>506.0</v>
      </c>
      <c r="B508" s="1" t="s">
        <v>488</v>
      </c>
      <c r="C508" s="1" t="s">
        <v>6</v>
      </c>
      <c r="D508" s="1">
        <v>1.0</v>
      </c>
      <c r="E508" s="1" t="s">
        <v>7</v>
      </c>
      <c r="F508" s="1">
        <v>4885471.0</v>
      </c>
    </row>
    <row r="509">
      <c r="A509" s="1">
        <v>507.0</v>
      </c>
      <c r="B509" s="1" t="s">
        <v>489</v>
      </c>
      <c r="C509" s="1" t="s">
        <v>6</v>
      </c>
      <c r="D509" s="1">
        <v>1.0</v>
      </c>
      <c r="E509" s="1" t="s">
        <v>7</v>
      </c>
      <c r="F509" s="1">
        <v>1600600.0</v>
      </c>
    </row>
    <row r="510">
      <c r="A510" s="1">
        <v>508.0</v>
      </c>
      <c r="B510" s="1" t="s">
        <v>490</v>
      </c>
      <c r="C510" s="1" t="s">
        <v>6</v>
      </c>
      <c r="D510" s="1">
        <v>1.0</v>
      </c>
      <c r="E510" s="1" t="s">
        <v>7</v>
      </c>
      <c r="F510" s="1">
        <v>22000.0</v>
      </c>
    </row>
    <row r="511">
      <c r="A511" s="1">
        <v>509.0</v>
      </c>
      <c r="B511" s="1" t="s">
        <v>491</v>
      </c>
      <c r="C511" s="1" t="s">
        <v>6</v>
      </c>
      <c r="D511" s="1">
        <v>1.0</v>
      </c>
      <c r="E511" s="1" t="s">
        <v>7</v>
      </c>
      <c r="F511" s="1">
        <v>73.0</v>
      </c>
    </row>
    <row r="512">
      <c r="A512" s="1">
        <v>510.0</v>
      </c>
      <c r="B512" s="1" t="s">
        <v>492</v>
      </c>
      <c r="C512" s="1" t="s">
        <v>6</v>
      </c>
      <c r="D512" s="1">
        <v>1.0</v>
      </c>
      <c r="E512" s="1" t="s">
        <v>7</v>
      </c>
      <c r="F512" s="1">
        <v>883159.0</v>
      </c>
    </row>
    <row r="513">
      <c r="A513" s="1">
        <v>511.0</v>
      </c>
      <c r="B513" s="1" t="s">
        <v>493</v>
      </c>
      <c r="C513" s="1" t="s">
        <v>6</v>
      </c>
      <c r="D513" s="1">
        <v>1.0</v>
      </c>
      <c r="E513" s="1" t="s">
        <v>7</v>
      </c>
      <c r="F513" s="1">
        <v>1880795.0</v>
      </c>
    </row>
    <row r="514">
      <c r="A514" s="1">
        <v>512.0</v>
      </c>
      <c r="B514" s="1" t="s">
        <v>494</v>
      </c>
      <c r="C514" s="1" t="s">
        <v>6</v>
      </c>
      <c r="D514" s="1">
        <v>1.0</v>
      </c>
      <c r="E514" s="1" t="s">
        <v>7</v>
      </c>
      <c r="F514" s="1">
        <v>1123652.0</v>
      </c>
    </row>
    <row r="515">
      <c r="A515" s="1">
        <v>513.0</v>
      </c>
      <c r="B515" s="1" t="s">
        <v>495</v>
      </c>
      <c r="C515" s="1" t="s">
        <v>6</v>
      </c>
      <c r="D515" s="1">
        <v>1.0</v>
      </c>
      <c r="E515" s="1" t="s">
        <v>7</v>
      </c>
      <c r="F515" s="1">
        <v>17996.0</v>
      </c>
    </row>
    <row r="516">
      <c r="A516" s="1">
        <v>514.0</v>
      </c>
      <c r="B516" s="1" t="s">
        <v>496</v>
      </c>
      <c r="C516" s="1" t="s">
        <v>6</v>
      </c>
      <c r="D516" s="1">
        <v>1.0</v>
      </c>
      <c r="E516" s="1" t="s">
        <v>7</v>
      </c>
      <c r="F516" s="1">
        <v>1239174.0</v>
      </c>
    </row>
    <row r="517">
      <c r="A517" s="1">
        <v>515.0</v>
      </c>
      <c r="B517" s="1" t="s">
        <v>497</v>
      </c>
      <c r="C517" s="1" t="s">
        <v>6</v>
      </c>
      <c r="D517" s="1">
        <v>1.0</v>
      </c>
      <c r="E517" s="1" t="s">
        <v>7</v>
      </c>
      <c r="F517" s="1">
        <v>926.0</v>
      </c>
    </row>
    <row r="518">
      <c r="A518" s="1">
        <v>516.0</v>
      </c>
      <c r="B518" s="1" t="s">
        <v>498</v>
      </c>
      <c r="C518" s="1" t="s">
        <v>6</v>
      </c>
      <c r="D518" s="1">
        <v>1.0</v>
      </c>
      <c r="E518" s="1" t="s">
        <v>7</v>
      </c>
      <c r="F518" s="1">
        <v>409290.0</v>
      </c>
    </row>
    <row r="519">
      <c r="A519" s="1">
        <v>517.0</v>
      </c>
      <c r="B519" s="1" t="s">
        <v>499</v>
      </c>
      <c r="C519" s="1" t="s">
        <v>6</v>
      </c>
      <c r="D519" s="1">
        <v>1.0</v>
      </c>
      <c r="E519" s="1" t="s">
        <v>7</v>
      </c>
      <c r="F519" s="1">
        <v>309535.0</v>
      </c>
    </row>
    <row r="520">
      <c r="A520" s="1">
        <v>518.0</v>
      </c>
      <c r="B520" s="1" t="s">
        <v>500</v>
      </c>
      <c r="C520" s="1" t="s">
        <v>6</v>
      </c>
      <c r="D520" s="1">
        <v>1.0</v>
      </c>
      <c r="E520" s="1" t="s">
        <v>7</v>
      </c>
      <c r="F520" s="1">
        <v>666056.0</v>
      </c>
    </row>
    <row r="521">
      <c r="A521" s="1">
        <v>519.0</v>
      </c>
      <c r="B521" s="1" t="s">
        <v>501</v>
      </c>
      <c r="C521" s="1" t="s">
        <v>6</v>
      </c>
      <c r="D521" s="1">
        <v>1.0</v>
      </c>
      <c r="E521" s="1" t="s">
        <v>7</v>
      </c>
      <c r="F521" s="1">
        <v>3250773.0</v>
      </c>
    </row>
    <row r="522">
      <c r="A522" s="1">
        <v>520.0</v>
      </c>
      <c r="B522" s="1" t="s">
        <v>502</v>
      </c>
      <c r="C522" s="1" t="s">
        <v>6</v>
      </c>
      <c r="D522" s="1">
        <v>1.0</v>
      </c>
      <c r="E522" s="1" t="s">
        <v>7</v>
      </c>
      <c r="F522" s="1">
        <v>736073.0</v>
      </c>
    </row>
    <row r="523">
      <c r="A523" s="1">
        <v>521.0</v>
      </c>
      <c r="B523" s="1" t="s">
        <v>503</v>
      </c>
      <c r="C523" s="1" t="s">
        <v>6</v>
      </c>
      <c r="D523" s="1">
        <v>1.0</v>
      </c>
      <c r="E523" s="1" t="s">
        <v>7</v>
      </c>
      <c r="F523" s="1">
        <v>1849758.0</v>
      </c>
    </row>
    <row r="524">
      <c r="A524" s="1">
        <v>522.0</v>
      </c>
      <c r="B524" s="1" t="s">
        <v>325</v>
      </c>
      <c r="C524" s="1" t="s">
        <v>6</v>
      </c>
      <c r="D524" s="1">
        <v>1.0</v>
      </c>
      <c r="E524" s="1" t="s">
        <v>7</v>
      </c>
      <c r="F524" s="1">
        <v>13275.0</v>
      </c>
    </row>
    <row r="525">
      <c r="A525" s="1">
        <v>523.0</v>
      </c>
      <c r="B525" s="1" t="s">
        <v>504</v>
      </c>
      <c r="C525" s="1" t="s">
        <v>6</v>
      </c>
      <c r="D525" s="1">
        <v>1.0</v>
      </c>
      <c r="E525" s="1" t="s">
        <v>7</v>
      </c>
      <c r="F525" s="1">
        <v>538385.0</v>
      </c>
    </row>
    <row r="526">
      <c r="A526" s="1">
        <v>524.0</v>
      </c>
      <c r="B526" s="1" t="s">
        <v>505</v>
      </c>
      <c r="C526" s="1" t="s">
        <v>6</v>
      </c>
      <c r="D526" s="1">
        <v>1.0</v>
      </c>
      <c r="E526" s="1" t="s">
        <v>7</v>
      </c>
      <c r="F526" s="1">
        <v>36641.0</v>
      </c>
    </row>
    <row r="527">
      <c r="A527" s="1">
        <v>525.0</v>
      </c>
      <c r="B527" s="1" t="s">
        <v>138</v>
      </c>
      <c r="C527" s="1" t="s">
        <v>6</v>
      </c>
      <c r="D527" s="1">
        <v>1.0</v>
      </c>
      <c r="E527" s="1" t="s">
        <v>7</v>
      </c>
      <c r="F527" s="1">
        <v>35171.0</v>
      </c>
    </row>
    <row r="528">
      <c r="A528" s="1">
        <v>526.0</v>
      </c>
      <c r="B528" s="1" t="s">
        <v>506</v>
      </c>
      <c r="C528" s="1" t="s">
        <v>6</v>
      </c>
      <c r="D528" s="1">
        <v>1.0</v>
      </c>
      <c r="E528" s="1" t="s">
        <v>7</v>
      </c>
      <c r="F528" s="1">
        <v>3132009.0</v>
      </c>
    </row>
    <row r="529">
      <c r="A529" s="1">
        <v>527.0</v>
      </c>
      <c r="B529" s="1" t="s">
        <v>507</v>
      </c>
      <c r="C529" s="1" t="s">
        <v>6</v>
      </c>
      <c r="D529" s="1">
        <v>1.0</v>
      </c>
      <c r="E529" s="1" t="s">
        <v>7</v>
      </c>
      <c r="F529" s="1">
        <v>1960385.0</v>
      </c>
    </row>
    <row r="530">
      <c r="A530" s="1">
        <v>528.0</v>
      </c>
      <c r="B530" s="1" t="s">
        <v>508</v>
      </c>
      <c r="C530" s="1" t="s">
        <v>6</v>
      </c>
      <c r="D530" s="1">
        <v>1.0</v>
      </c>
      <c r="E530" s="1" t="s">
        <v>7</v>
      </c>
      <c r="F530" s="1">
        <v>88854.0</v>
      </c>
    </row>
    <row r="531">
      <c r="A531" s="1">
        <v>529.0</v>
      </c>
      <c r="B531" s="1" t="s">
        <v>509</v>
      </c>
      <c r="C531" s="1" t="s">
        <v>6</v>
      </c>
      <c r="D531" s="1">
        <v>1.0</v>
      </c>
      <c r="E531" s="1" t="s">
        <v>7</v>
      </c>
      <c r="F531" s="1">
        <v>361426.0</v>
      </c>
    </row>
    <row r="532">
      <c r="A532" s="1">
        <v>530.0</v>
      </c>
      <c r="B532" s="1" t="s">
        <v>232</v>
      </c>
      <c r="C532" s="1" t="s">
        <v>6</v>
      </c>
      <c r="D532" s="1">
        <v>1.0</v>
      </c>
      <c r="E532" s="1" t="s">
        <v>7</v>
      </c>
      <c r="F532" s="1">
        <v>1635359.0</v>
      </c>
    </row>
    <row r="533">
      <c r="A533" s="1">
        <v>531.0</v>
      </c>
      <c r="B533" s="1" t="s">
        <v>498</v>
      </c>
      <c r="C533" s="1" t="s">
        <v>6</v>
      </c>
      <c r="D533" s="1">
        <v>1.0</v>
      </c>
      <c r="E533" s="1" t="s">
        <v>7</v>
      </c>
      <c r="F533" s="1">
        <v>502235.0</v>
      </c>
    </row>
    <row r="534">
      <c r="A534" s="1">
        <v>532.0</v>
      </c>
      <c r="B534" s="1" t="s">
        <v>89</v>
      </c>
      <c r="C534" s="1" t="s">
        <v>6</v>
      </c>
      <c r="D534" s="1">
        <v>1.0</v>
      </c>
      <c r="E534" s="1" t="s">
        <v>7</v>
      </c>
      <c r="F534" s="1">
        <v>52244.0</v>
      </c>
    </row>
    <row r="535">
      <c r="A535" s="1">
        <v>533.0</v>
      </c>
      <c r="B535" s="1" t="s">
        <v>510</v>
      </c>
      <c r="C535" s="1" t="s">
        <v>6</v>
      </c>
      <c r="D535" s="1">
        <v>1.0</v>
      </c>
      <c r="E535" s="1" t="s">
        <v>7</v>
      </c>
      <c r="F535" s="1">
        <v>60839.0</v>
      </c>
    </row>
    <row r="536">
      <c r="A536" s="1">
        <v>534.0</v>
      </c>
      <c r="B536" s="1" t="s">
        <v>511</v>
      </c>
      <c r="C536" s="1" t="s">
        <v>6</v>
      </c>
      <c r="D536" s="1">
        <v>1.0</v>
      </c>
      <c r="E536" s="1" t="s">
        <v>7</v>
      </c>
      <c r="F536" s="1">
        <v>21672.0</v>
      </c>
    </row>
    <row r="537">
      <c r="A537" s="1">
        <v>535.0</v>
      </c>
      <c r="B537" s="1" t="s">
        <v>512</v>
      </c>
      <c r="C537" s="1" t="s">
        <v>6</v>
      </c>
      <c r="D537" s="1">
        <v>1.0</v>
      </c>
      <c r="E537" s="1" t="s">
        <v>7</v>
      </c>
      <c r="F537" s="1">
        <v>1706945.0</v>
      </c>
    </row>
    <row r="538">
      <c r="A538" s="1">
        <v>536.0</v>
      </c>
      <c r="B538" s="1" t="s">
        <v>513</v>
      </c>
      <c r="C538" s="1" t="s">
        <v>6</v>
      </c>
      <c r="D538" s="1">
        <v>1.0</v>
      </c>
      <c r="E538" s="1" t="s">
        <v>7</v>
      </c>
      <c r="F538" s="1">
        <v>405591.0</v>
      </c>
    </row>
    <row r="539">
      <c r="A539" s="1">
        <v>537.0</v>
      </c>
      <c r="B539" s="1" t="s">
        <v>514</v>
      </c>
      <c r="C539" s="1" t="s">
        <v>6</v>
      </c>
      <c r="D539" s="1">
        <v>1.0</v>
      </c>
      <c r="E539" s="1" t="s">
        <v>7</v>
      </c>
      <c r="F539" s="1">
        <v>852772.0</v>
      </c>
    </row>
    <row r="540">
      <c r="A540" s="1">
        <v>538.0</v>
      </c>
      <c r="B540" s="1" t="s">
        <v>515</v>
      </c>
      <c r="C540" s="1" t="s">
        <v>6</v>
      </c>
      <c r="D540" s="1">
        <v>1.0</v>
      </c>
      <c r="E540" s="1" t="s">
        <v>7</v>
      </c>
      <c r="F540" s="1">
        <v>102323.0</v>
      </c>
    </row>
    <row r="541">
      <c r="A541" s="1">
        <v>539.0</v>
      </c>
      <c r="B541" s="1" t="s">
        <v>516</v>
      </c>
      <c r="C541" s="1" t="s">
        <v>6</v>
      </c>
      <c r="D541" s="1">
        <v>1.0</v>
      </c>
      <c r="E541" s="1" t="s">
        <v>7</v>
      </c>
      <c r="F541" s="1">
        <v>888153.0</v>
      </c>
    </row>
    <row r="542">
      <c r="A542" s="1">
        <v>540.0</v>
      </c>
      <c r="B542" s="1" t="s">
        <v>517</v>
      </c>
      <c r="C542" s="1" t="s">
        <v>6</v>
      </c>
      <c r="D542" s="1">
        <v>1.0</v>
      </c>
      <c r="E542" s="1" t="s">
        <v>7</v>
      </c>
      <c r="F542" s="1">
        <v>2992992.0</v>
      </c>
    </row>
    <row r="543">
      <c r="A543" s="1">
        <v>541.0</v>
      </c>
      <c r="B543" s="1" t="s">
        <v>518</v>
      </c>
      <c r="C543" s="1" t="s">
        <v>6</v>
      </c>
      <c r="D543" s="1">
        <v>1.0</v>
      </c>
      <c r="E543" s="1" t="s">
        <v>7</v>
      </c>
      <c r="F543" s="1">
        <v>36836.0</v>
      </c>
    </row>
    <row r="544">
      <c r="A544" s="1">
        <v>542.0</v>
      </c>
      <c r="B544" s="5" t="s">
        <v>519</v>
      </c>
      <c r="C544" s="1" t="s">
        <v>6</v>
      </c>
      <c r="D544" s="1">
        <v>1.0</v>
      </c>
      <c r="E544" s="1" t="s">
        <v>7</v>
      </c>
      <c r="F544" s="1">
        <v>50613.0</v>
      </c>
    </row>
    <row r="545">
      <c r="A545" s="1">
        <v>543.0</v>
      </c>
      <c r="B545" s="1" t="s">
        <v>520</v>
      </c>
      <c r="C545" s="1" t="s">
        <v>6</v>
      </c>
      <c r="D545" s="1">
        <v>1.0</v>
      </c>
      <c r="E545" s="1" t="s">
        <v>7</v>
      </c>
      <c r="F545" s="1">
        <v>24660.0</v>
      </c>
    </row>
    <row r="546">
      <c r="A546" s="1">
        <v>544.0</v>
      </c>
      <c r="B546" s="1" t="s">
        <v>521</v>
      </c>
      <c r="C546" s="1" t="s">
        <v>6</v>
      </c>
      <c r="D546" s="1">
        <v>1.0</v>
      </c>
      <c r="E546" s="1" t="s">
        <v>7</v>
      </c>
      <c r="F546" s="1">
        <v>1350349.0</v>
      </c>
    </row>
    <row r="547">
      <c r="A547" s="1">
        <v>545.0</v>
      </c>
      <c r="B547" s="1" t="s">
        <v>522</v>
      </c>
      <c r="C547" s="1" t="s">
        <v>6</v>
      </c>
      <c r="D547" s="1">
        <v>1.0</v>
      </c>
      <c r="E547" s="1" t="s">
        <v>7</v>
      </c>
      <c r="F547" s="1">
        <v>31.0</v>
      </c>
    </row>
    <row r="548">
      <c r="A548" s="1">
        <v>546.0</v>
      </c>
      <c r="B548" s="1" t="s">
        <v>170</v>
      </c>
      <c r="C548" s="1" t="s">
        <v>6</v>
      </c>
      <c r="D548" s="1">
        <v>1.0</v>
      </c>
      <c r="E548" s="1" t="s">
        <v>7</v>
      </c>
      <c r="F548" s="1">
        <v>1904025.0</v>
      </c>
    </row>
    <row r="549">
      <c r="A549" s="1">
        <v>547.0</v>
      </c>
      <c r="B549" s="1" t="s">
        <v>523</v>
      </c>
      <c r="C549" s="1" t="s">
        <v>6</v>
      </c>
      <c r="D549" s="1">
        <v>1.0</v>
      </c>
      <c r="E549" s="1" t="s">
        <v>7</v>
      </c>
      <c r="F549" s="1">
        <v>622.0</v>
      </c>
    </row>
    <row r="550">
      <c r="A550" s="1">
        <v>548.0</v>
      </c>
      <c r="B550" s="1" t="s">
        <v>176</v>
      </c>
      <c r="C550" s="1" t="s">
        <v>6</v>
      </c>
      <c r="D550" s="1">
        <v>1.0</v>
      </c>
      <c r="E550" s="1" t="s">
        <v>7</v>
      </c>
      <c r="F550" s="1">
        <v>56274.0</v>
      </c>
    </row>
    <row r="551">
      <c r="A551" s="1">
        <v>549.0</v>
      </c>
      <c r="B551" s="1" t="s">
        <v>524</v>
      </c>
      <c r="C551" s="1" t="s">
        <v>6</v>
      </c>
      <c r="D551" s="1">
        <v>1.0</v>
      </c>
      <c r="E551" s="1" t="s">
        <v>7</v>
      </c>
      <c r="F551" s="1">
        <v>437437.0</v>
      </c>
    </row>
    <row r="552">
      <c r="A552" s="1">
        <v>550.0</v>
      </c>
      <c r="B552" s="1" t="s">
        <v>525</v>
      </c>
      <c r="C552" s="1" t="s">
        <v>6</v>
      </c>
      <c r="D552" s="1">
        <v>1.0</v>
      </c>
      <c r="E552" s="1" t="s">
        <v>7</v>
      </c>
      <c r="F552" s="1">
        <v>1962431.0</v>
      </c>
    </row>
    <row r="553">
      <c r="A553" s="1">
        <v>551.0</v>
      </c>
      <c r="B553" s="1" t="s">
        <v>526</v>
      </c>
      <c r="C553" s="1" t="s">
        <v>6</v>
      </c>
      <c r="D553" s="1">
        <v>1.0</v>
      </c>
      <c r="E553" s="1" t="s">
        <v>7</v>
      </c>
      <c r="F553" s="1">
        <v>1841987.0</v>
      </c>
    </row>
    <row r="554">
      <c r="A554" s="1">
        <v>552.0</v>
      </c>
      <c r="B554" s="1" t="s">
        <v>114</v>
      </c>
      <c r="C554" s="1" t="s">
        <v>6</v>
      </c>
      <c r="D554" s="1">
        <v>1.0</v>
      </c>
      <c r="E554" s="1" t="s">
        <v>7</v>
      </c>
      <c r="F554" s="1">
        <v>15660.0</v>
      </c>
    </row>
    <row r="555">
      <c r="A555" s="1">
        <v>553.0</v>
      </c>
      <c r="B555" s="1" t="s">
        <v>527</v>
      </c>
      <c r="C555" s="1" t="s">
        <v>6</v>
      </c>
      <c r="D555" s="1">
        <v>1.0</v>
      </c>
      <c r="E555" s="1" t="s">
        <v>7</v>
      </c>
      <c r="F555" s="1">
        <v>1206266.0</v>
      </c>
    </row>
    <row r="556">
      <c r="A556" s="1">
        <v>554.0</v>
      </c>
      <c r="B556" s="1" t="s">
        <v>528</v>
      </c>
      <c r="C556" s="1" t="s">
        <v>6</v>
      </c>
      <c r="D556" s="1">
        <v>1.0</v>
      </c>
      <c r="E556" s="1" t="s">
        <v>7</v>
      </c>
      <c r="F556" s="1">
        <v>23.0</v>
      </c>
    </row>
    <row r="557">
      <c r="A557" s="1">
        <v>555.0</v>
      </c>
      <c r="B557" s="1" t="s">
        <v>529</v>
      </c>
      <c r="C557" s="1" t="s">
        <v>6</v>
      </c>
      <c r="D557" s="1">
        <v>1.0</v>
      </c>
      <c r="E557" s="1" t="s">
        <v>7</v>
      </c>
      <c r="F557" s="1">
        <v>1432516.0</v>
      </c>
    </row>
    <row r="558">
      <c r="A558" s="1">
        <v>556.0</v>
      </c>
      <c r="B558" s="1" t="s">
        <v>530</v>
      </c>
      <c r="C558" s="1" t="s">
        <v>6</v>
      </c>
      <c r="D558" s="1">
        <v>1.0</v>
      </c>
      <c r="E558" s="1" t="s">
        <v>7</v>
      </c>
      <c r="F558" s="1">
        <v>1507.0</v>
      </c>
    </row>
    <row r="559">
      <c r="A559" s="1">
        <v>557.0</v>
      </c>
      <c r="B559" s="1" t="s">
        <v>531</v>
      </c>
      <c r="C559" s="1" t="s">
        <v>6</v>
      </c>
      <c r="D559" s="1">
        <v>1.0</v>
      </c>
      <c r="E559" s="1" t="s">
        <v>7</v>
      </c>
      <c r="F559" s="1">
        <v>783002.0</v>
      </c>
    </row>
    <row r="560">
      <c r="A560" s="1">
        <v>558.0</v>
      </c>
      <c r="B560" s="1" t="s">
        <v>532</v>
      </c>
      <c r="C560" s="1" t="s">
        <v>6</v>
      </c>
      <c r="D560" s="1">
        <v>1.0</v>
      </c>
      <c r="E560" s="1" t="s">
        <v>7</v>
      </c>
      <c r="F560" s="1">
        <v>207.0</v>
      </c>
    </row>
    <row r="561">
      <c r="A561" s="1">
        <v>559.0</v>
      </c>
      <c r="B561" s="1" t="s">
        <v>533</v>
      </c>
      <c r="C561" s="1" t="s">
        <v>6</v>
      </c>
      <c r="D561" s="1">
        <v>1.0</v>
      </c>
      <c r="E561" s="1" t="s">
        <v>7</v>
      </c>
      <c r="F561" s="1">
        <v>1634312.0</v>
      </c>
    </row>
    <row r="562">
      <c r="A562" s="1">
        <v>560.0</v>
      </c>
      <c r="B562" s="1" t="s">
        <v>534</v>
      </c>
      <c r="C562" s="1" t="s">
        <v>6</v>
      </c>
      <c r="D562" s="1">
        <v>1.0</v>
      </c>
      <c r="E562" s="1" t="s">
        <v>7</v>
      </c>
      <c r="F562" s="1">
        <v>1850000.0</v>
      </c>
    </row>
    <row r="563">
      <c r="A563" s="1">
        <v>561.0</v>
      </c>
      <c r="B563" s="1" t="s">
        <v>535</v>
      </c>
      <c r="C563" s="1" t="s">
        <v>6</v>
      </c>
      <c r="D563" s="1">
        <v>1.0</v>
      </c>
      <c r="E563" s="1" t="s">
        <v>7</v>
      </c>
      <c r="F563" s="1">
        <v>235.0</v>
      </c>
    </row>
    <row r="564">
      <c r="A564" s="1">
        <v>562.0</v>
      </c>
      <c r="B564" s="1" t="s">
        <v>536</v>
      </c>
      <c r="C564" s="1" t="s">
        <v>6</v>
      </c>
      <c r="D564" s="1">
        <v>1.0</v>
      </c>
      <c r="E564" s="1" t="s">
        <v>7</v>
      </c>
      <c r="F564" s="1">
        <v>2581613.0</v>
      </c>
    </row>
    <row r="565">
      <c r="A565" s="1">
        <v>563.0</v>
      </c>
      <c r="B565" s="1" t="s">
        <v>537</v>
      </c>
      <c r="C565" s="1" t="s">
        <v>6</v>
      </c>
      <c r="D565" s="1">
        <v>1.0</v>
      </c>
      <c r="E565" s="1" t="s">
        <v>7</v>
      </c>
      <c r="F565" s="1">
        <v>2512238.0</v>
      </c>
    </row>
    <row r="566">
      <c r="A566" s="1">
        <v>564.0</v>
      </c>
      <c r="B566" s="1" t="s">
        <v>538</v>
      </c>
      <c r="C566" s="1" t="s">
        <v>6</v>
      </c>
      <c r="D566" s="1">
        <v>1.0</v>
      </c>
      <c r="E566" s="1" t="s">
        <v>7</v>
      </c>
      <c r="F566" s="1">
        <v>742880.0</v>
      </c>
    </row>
    <row r="567">
      <c r="A567" s="1">
        <v>565.0</v>
      </c>
      <c r="B567" s="1" t="s">
        <v>539</v>
      </c>
      <c r="C567" s="1" t="s">
        <v>6</v>
      </c>
      <c r="D567" s="1">
        <v>1.0</v>
      </c>
      <c r="E567" s="1" t="s">
        <v>7</v>
      </c>
      <c r="F567" s="1">
        <v>1125549.0</v>
      </c>
    </row>
    <row r="568">
      <c r="A568" s="1">
        <v>566.0</v>
      </c>
      <c r="B568" s="1" t="s">
        <v>540</v>
      </c>
      <c r="C568" s="1" t="s">
        <v>6</v>
      </c>
      <c r="D568" s="1">
        <v>1.0</v>
      </c>
      <c r="E568" s="1" t="s">
        <v>7</v>
      </c>
      <c r="F568" s="1">
        <v>1288025.0</v>
      </c>
    </row>
    <row r="569">
      <c r="A569" s="1">
        <v>567.0</v>
      </c>
      <c r="B569" s="1" t="s">
        <v>541</v>
      </c>
      <c r="C569" s="1" t="s">
        <v>6</v>
      </c>
      <c r="D569" s="1">
        <v>1.0</v>
      </c>
      <c r="E569" s="1" t="s">
        <v>7</v>
      </c>
      <c r="F569" s="1">
        <v>722612.0</v>
      </c>
    </row>
    <row r="570">
      <c r="A570" s="1">
        <v>568.0</v>
      </c>
      <c r="B570" s="1" t="s">
        <v>542</v>
      </c>
      <c r="C570" s="1" t="s">
        <v>6</v>
      </c>
      <c r="D570" s="1">
        <v>1.0</v>
      </c>
      <c r="E570" s="1" t="s">
        <v>7</v>
      </c>
      <c r="F570" s="1">
        <v>57698.0</v>
      </c>
    </row>
    <row r="571">
      <c r="A571" s="1">
        <v>569.0</v>
      </c>
      <c r="B571" s="1" t="s">
        <v>543</v>
      </c>
      <c r="C571" s="1" t="s">
        <v>6</v>
      </c>
      <c r="D571" s="1">
        <v>1.0</v>
      </c>
      <c r="E571" s="1" t="s">
        <v>7</v>
      </c>
      <c r="F571" s="1">
        <v>1693373.0</v>
      </c>
    </row>
    <row r="572">
      <c r="A572" s="1">
        <v>570.0</v>
      </c>
      <c r="B572" s="1" t="s">
        <v>544</v>
      </c>
      <c r="C572" s="1" t="s">
        <v>6</v>
      </c>
      <c r="D572" s="1">
        <v>1.0</v>
      </c>
      <c r="E572" s="1" t="s">
        <v>7</v>
      </c>
      <c r="F572" s="1">
        <v>62.0</v>
      </c>
    </row>
    <row r="573">
      <c r="A573" s="1">
        <v>571.0</v>
      </c>
      <c r="B573" s="1" t="s">
        <v>545</v>
      </c>
      <c r="C573" s="1" t="s">
        <v>6</v>
      </c>
      <c r="D573" s="1">
        <v>1.0</v>
      </c>
      <c r="E573" s="1" t="s">
        <v>7</v>
      </c>
      <c r="F573" s="1">
        <v>1712858.0</v>
      </c>
    </row>
    <row r="574">
      <c r="A574" s="1">
        <v>572.0</v>
      </c>
      <c r="B574" s="1" t="s">
        <v>75</v>
      </c>
      <c r="C574" s="1" t="s">
        <v>6</v>
      </c>
      <c r="D574" s="1">
        <v>1.0</v>
      </c>
      <c r="E574" s="1" t="s">
        <v>7</v>
      </c>
      <c r="F574" s="1">
        <v>75.0</v>
      </c>
    </row>
    <row r="575">
      <c r="A575" s="1">
        <v>573.0</v>
      </c>
      <c r="B575" s="1" t="s">
        <v>546</v>
      </c>
      <c r="C575" s="1" t="s">
        <v>6</v>
      </c>
      <c r="D575" s="1">
        <v>1.0</v>
      </c>
      <c r="E575" s="1" t="s">
        <v>7</v>
      </c>
      <c r="F575" s="1">
        <v>740000.0</v>
      </c>
    </row>
    <row r="576">
      <c r="A576" s="1">
        <v>574.0</v>
      </c>
      <c r="B576" s="1" t="s">
        <v>547</v>
      </c>
      <c r="C576" s="1" t="s">
        <v>6</v>
      </c>
      <c r="D576" s="1">
        <v>1.0</v>
      </c>
      <c r="E576" s="1" t="s">
        <v>7</v>
      </c>
      <c r="F576" s="1">
        <v>1480908.0</v>
      </c>
    </row>
    <row r="577">
      <c r="A577" s="1">
        <v>575.0</v>
      </c>
      <c r="B577" s="1" t="s">
        <v>548</v>
      </c>
      <c r="C577" s="1" t="s">
        <v>6</v>
      </c>
      <c r="D577" s="1">
        <v>1.0</v>
      </c>
      <c r="E577" s="1" t="s">
        <v>7</v>
      </c>
      <c r="F577" s="1">
        <v>826553.0</v>
      </c>
    </row>
    <row r="578">
      <c r="A578" s="1">
        <v>576.0</v>
      </c>
      <c r="B578" s="1" t="s">
        <v>549</v>
      </c>
      <c r="C578" s="1" t="s">
        <v>6</v>
      </c>
      <c r="D578" s="1">
        <v>1.0</v>
      </c>
      <c r="E578" s="1" t="s">
        <v>7</v>
      </c>
      <c r="F578" s="1">
        <v>2838406.0</v>
      </c>
    </row>
    <row r="579">
      <c r="A579" s="1">
        <v>577.0</v>
      </c>
      <c r="B579" s="1" t="s">
        <v>550</v>
      </c>
      <c r="C579" s="1" t="s">
        <v>6</v>
      </c>
      <c r="D579" s="1">
        <v>1.0</v>
      </c>
      <c r="E579" s="1" t="s">
        <v>7</v>
      </c>
      <c r="F579" s="1">
        <v>1336995.0</v>
      </c>
    </row>
    <row r="580">
      <c r="A580" s="1">
        <v>578.0</v>
      </c>
      <c r="B580" s="1" t="s">
        <v>551</v>
      </c>
      <c r="C580" s="1" t="s">
        <v>6</v>
      </c>
      <c r="D580" s="1">
        <v>1.0</v>
      </c>
      <c r="E580" s="1" t="s">
        <v>7</v>
      </c>
      <c r="F580" s="1">
        <v>613936.0</v>
      </c>
    </row>
    <row r="581">
      <c r="A581" s="1">
        <v>579.0</v>
      </c>
      <c r="B581" s="1" t="s">
        <v>552</v>
      </c>
      <c r="C581" s="1" t="s">
        <v>6</v>
      </c>
      <c r="D581" s="1">
        <v>1.0</v>
      </c>
      <c r="E581" s="1" t="s">
        <v>7</v>
      </c>
      <c r="F581" s="1">
        <v>515891.0</v>
      </c>
    </row>
    <row r="582">
      <c r="A582" s="1">
        <v>580.0</v>
      </c>
      <c r="B582" s="1" t="s">
        <v>553</v>
      </c>
      <c r="C582" s="1" t="s">
        <v>6</v>
      </c>
      <c r="D582" s="1">
        <v>1.0</v>
      </c>
      <c r="E582" s="1" t="s">
        <v>7</v>
      </c>
      <c r="F582" s="1">
        <v>101548.0</v>
      </c>
    </row>
    <row r="583">
      <c r="A583" s="1">
        <v>581.0</v>
      </c>
      <c r="B583" s="1" t="s">
        <v>554</v>
      </c>
      <c r="C583" s="1" t="s">
        <v>6</v>
      </c>
      <c r="D583" s="1">
        <v>1.0</v>
      </c>
      <c r="E583" s="1" t="s">
        <v>7</v>
      </c>
      <c r="F583" s="1">
        <v>1555476.0</v>
      </c>
    </row>
    <row r="584">
      <c r="A584" s="1">
        <v>582.0</v>
      </c>
      <c r="B584" s="1" t="s">
        <v>555</v>
      </c>
      <c r="C584" s="1" t="s">
        <v>6</v>
      </c>
      <c r="D584" s="1">
        <v>1.0</v>
      </c>
      <c r="E584" s="1" t="s">
        <v>7</v>
      </c>
      <c r="F584" s="1">
        <v>107054.0</v>
      </c>
    </row>
    <row r="585">
      <c r="A585" s="1">
        <v>583.0</v>
      </c>
      <c r="B585" s="1" t="s">
        <v>116</v>
      </c>
      <c r="C585" s="1" t="s">
        <v>6</v>
      </c>
      <c r="D585" s="1">
        <v>1.0</v>
      </c>
      <c r="E585" s="1" t="s">
        <v>7</v>
      </c>
      <c r="F585" s="1">
        <v>1073886.0</v>
      </c>
    </row>
    <row r="586">
      <c r="A586" s="1">
        <v>584.0</v>
      </c>
      <c r="B586" s="1" t="s">
        <v>556</v>
      </c>
      <c r="C586" s="1" t="s">
        <v>6</v>
      </c>
      <c r="D586" s="1">
        <v>1.0</v>
      </c>
      <c r="E586" s="1" t="s">
        <v>7</v>
      </c>
      <c r="F586" s="1">
        <v>808.0</v>
      </c>
    </row>
    <row r="587">
      <c r="A587" s="1">
        <v>585.0</v>
      </c>
      <c r="B587" s="1" t="s">
        <v>530</v>
      </c>
      <c r="C587" s="1" t="s">
        <v>6</v>
      </c>
      <c r="D587" s="1">
        <v>1.0</v>
      </c>
      <c r="E587" s="1" t="s">
        <v>7</v>
      </c>
      <c r="F587" s="1">
        <v>1244381.0</v>
      </c>
    </row>
    <row r="588">
      <c r="A588" s="1">
        <v>586.0</v>
      </c>
      <c r="B588" s="1" t="s">
        <v>557</v>
      </c>
      <c r="C588" s="1" t="s">
        <v>6</v>
      </c>
      <c r="D588" s="1">
        <v>1.0</v>
      </c>
      <c r="E588" s="1" t="s">
        <v>7</v>
      </c>
      <c r="F588" s="1">
        <v>1555054.0</v>
      </c>
    </row>
    <row r="589">
      <c r="A589" s="1">
        <v>587.0</v>
      </c>
      <c r="B589" s="1" t="s">
        <v>558</v>
      </c>
      <c r="C589" s="1" t="s">
        <v>6</v>
      </c>
      <c r="D589" s="1">
        <v>1.0</v>
      </c>
      <c r="E589" s="1" t="s">
        <v>7</v>
      </c>
      <c r="F589" s="1">
        <v>63.0</v>
      </c>
    </row>
    <row r="590">
      <c r="A590" s="1">
        <v>588.0</v>
      </c>
      <c r="B590" s="1" t="s">
        <v>559</v>
      </c>
      <c r="C590" s="1" t="s">
        <v>6</v>
      </c>
      <c r="D590" s="1">
        <v>1.0</v>
      </c>
      <c r="E590" s="1" t="s">
        <v>7</v>
      </c>
      <c r="F590" s="1">
        <v>240871.0</v>
      </c>
    </row>
    <row r="591">
      <c r="A591" s="1">
        <v>589.0</v>
      </c>
      <c r="B591" s="1" t="s">
        <v>560</v>
      </c>
      <c r="C591" s="1" t="s">
        <v>6</v>
      </c>
      <c r="D591" s="1">
        <v>1.0</v>
      </c>
      <c r="E591" s="1" t="s">
        <v>7</v>
      </c>
      <c r="F591" s="1">
        <v>773836.0</v>
      </c>
    </row>
    <row r="592">
      <c r="A592" s="1">
        <v>590.0</v>
      </c>
      <c r="B592" s="1" t="s">
        <v>561</v>
      </c>
      <c r="C592" s="1" t="s">
        <v>6</v>
      </c>
      <c r="D592" s="1">
        <v>1.0</v>
      </c>
      <c r="E592" s="1" t="s">
        <v>7</v>
      </c>
      <c r="F592" s="1">
        <v>676.0</v>
      </c>
    </row>
    <row r="593">
      <c r="A593" s="1">
        <v>591.0</v>
      </c>
      <c r="B593" s="1" t="s">
        <v>562</v>
      </c>
      <c r="C593" s="1" t="s">
        <v>6</v>
      </c>
      <c r="D593" s="1">
        <v>1.0</v>
      </c>
      <c r="E593" s="1" t="s">
        <v>7</v>
      </c>
      <c r="F593" s="1">
        <v>112474.0</v>
      </c>
    </row>
    <row r="594">
      <c r="A594" s="1">
        <v>592.0</v>
      </c>
      <c r="B594" s="1" t="s">
        <v>563</v>
      </c>
      <c r="C594" s="1" t="s">
        <v>6</v>
      </c>
      <c r="D594" s="1">
        <v>1.0</v>
      </c>
      <c r="E594" s="1" t="s">
        <v>7</v>
      </c>
      <c r="F594" s="1">
        <v>746629.0</v>
      </c>
    </row>
    <row r="595">
      <c r="A595" s="1">
        <v>593.0</v>
      </c>
      <c r="B595" s="1" t="s">
        <v>564</v>
      </c>
      <c r="C595" s="1" t="s">
        <v>6</v>
      </c>
      <c r="D595" s="1">
        <v>1.0</v>
      </c>
      <c r="E595" s="1" t="s">
        <v>7</v>
      </c>
      <c r="F595" s="1">
        <v>626402.0</v>
      </c>
    </row>
    <row r="596">
      <c r="A596" s="1">
        <v>594.0</v>
      </c>
      <c r="B596" s="1" t="s">
        <v>565</v>
      </c>
      <c r="C596" s="1" t="s">
        <v>6</v>
      </c>
      <c r="D596" s="1">
        <v>1.0</v>
      </c>
      <c r="E596" s="1" t="s">
        <v>7</v>
      </c>
      <c r="F596" s="1">
        <v>490608.0</v>
      </c>
    </row>
    <row r="597">
      <c r="A597" s="1">
        <v>595.0</v>
      </c>
      <c r="B597" s="1" t="s">
        <v>566</v>
      </c>
      <c r="C597" s="1" t="s">
        <v>6</v>
      </c>
      <c r="D597" s="1">
        <v>1.0</v>
      </c>
      <c r="E597" s="1" t="s">
        <v>7</v>
      </c>
      <c r="F597" s="1">
        <v>3447524.0</v>
      </c>
    </row>
    <row r="598">
      <c r="A598" s="1">
        <v>596.0</v>
      </c>
      <c r="B598" s="1" t="s">
        <v>567</v>
      </c>
      <c r="C598" s="1" t="s">
        <v>6</v>
      </c>
      <c r="D598" s="1">
        <v>1.0</v>
      </c>
      <c r="E598" s="1" t="s">
        <v>7</v>
      </c>
      <c r="F598" s="1">
        <v>1330194.0</v>
      </c>
    </row>
    <row r="599">
      <c r="A599" s="1">
        <v>597.0</v>
      </c>
      <c r="B599" s="1" t="s">
        <v>568</v>
      </c>
      <c r="C599" s="1" t="s">
        <v>6</v>
      </c>
      <c r="D599" s="1">
        <v>1.0</v>
      </c>
      <c r="E599" s="1" t="s">
        <v>7</v>
      </c>
      <c r="F599" s="1">
        <v>235379.0</v>
      </c>
    </row>
    <row r="600">
      <c r="A600" s="1">
        <v>598.0</v>
      </c>
      <c r="B600" s="1" t="s">
        <v>569</v>
      </c>
      <c r="C600" s="1" t="s">
        <v>6</v>
      </c>
      <c r="D600" s="1">
        <v>1.0</v>
      </c>
      <c r="E600" s="1" t="s">
        <v>7</v>
      </c>
      <c r="F600" s="1">
        <v>17.0</v>
      </c>
    </row>
    <row r="601">
      <c r="A601" s="1">
        <v>599.0</v>
      </c>
      <c r="B601" s="1" t="s">
        <v>570</v>
      </c>
      <c r="C601" s="1" t="s">
        <v>6</v>
      </c>
      <c r="D601" s="1">
        <v>1.0</v>
      </c>
      <c r="E601" s="1" t="s">
        <v>7</v>
      </c>
      <c r="F601" s="1">
        <v>105.0</v>
      </c>
    </row>
    <row r="602">
      <c r="A602" s="1">
        <v>600.0</v>
      </c>
      <c r="B602" s="1" t="s">
        <v>571</v>
      </c>
      <c r="C602" s="1" t="s">
        <v>6</v>
      </c>
      <c r="D602" s="1">
        <v>1.0</v>
      </c>
      <c r="E602" s="1" t="s">
        <v>7</v>
      </c>
      <c r="F602" s="1">
        <v>1727725.0</v>
      </c>
    </row>
    <row r="603">
      <c r="A603" s="1">
        <v>601.0</v>
      </c>
      <c r="B603" s="1" t="s">
        <v>572</v>
      </c>
      <c r="C603" s="1" t="s">
        <v>6</v>
      </c>
      <c r="D603" s="1">
        <v>1.0</v>
      </c>
      <c r="E603" s="1" t="s">
        <v>7</v>
      </c>
      <c r="F603" s="1">
        <v>2100000.0</v>
      </c>
    </row>
    <row r="604">
      <c r="A604" s="1">
        <v>602.0</v>
      </c>
      <c r="B604" s="1" t="s">
        <v>16</v>
      </c>
      <c r="C604" s="1" t="s">
        <v>6</v>
      </c>
      <c r="D604" s="1">
        <v>1.0</v>
      </c>
      <c r="E604" s="1" t="s">
        <v>7</v>
      </c>
      <c r="F604" s="1">
        <v>433436.0</v>
      </c>
    </row>
    <row r="605">
      <c r="A605" s="1">
        <v>603.0</v>
      </c>
      <c r="B605" s="1" t="s">
        <v>573</v>
      </c>
      <c r="C605" s="1" t="s">
        <v>6</v>
      </c>
      <c r="D605" s="1">
        <v>1.0</v>
      </c>
      <c r="E605" s="1" t="s">
        <v>7</v>
      </c>
      <c r="F605" s="1">
        <v>10449.0</v>
      </c>
    </row>
    <row r="606">
      <c r="A606" s="1">
        <v>604.0</v>
      </c>
      <c r="B606" s="1" t="s">
        <v>574</v>
      </c>
      <c r="C606" s="1" t="s">
        <v>6</v>
      </c>
      <c r="D606" s="1">
        <v>1.0</v>
      </c>
      <c r="E606" s="1" t="s">
        <v>7</v>
      </c>
      <c r="F606" s="1">
        <v>1567329.0</v>
      </c>
    </row>
    <row r="607">
      <c r="A607" s="1">
        <v>605.0</v>
      </c>
      <c r="B607" s="1" t="s">
        <v>575</v>
      </c>
      <c r="C607" s="1" t="s">
        <v>6</v>
      </c>
      <c r="D607" s="1">
        <v>1.0</v>
      </c>
      <c r="E607" s="1" t="s">
        <v>7</v>
      </c>
      <c r="F607" s="1">
        <v>508.0</v>
      </c>
    </row>
    <row r="608">
      <c r="A608" s="1">
        <v>606.0</v>
      </c>
      <c r="B608" s="1" t="s">
        <v>576</v>
      </c>
      <c r="C608" s="1" t="s">
        <v>6</v>
      </c>
      <c r="D608" s="1">
        <v>1.0</v>
      </c>
      <c r="E608" s="1" t="s">
        <v>7</v>
      </c>
      <c r="F608" s="1">
        <v>5385118.0</v>
      </c>
    </row>
    <row r="609">
      <c r="A609" s="1">
        <v>607.0</v>
      </c>
      <c r="B609" s="1" t="s">
        <v>577</v>
      </c>
      <c r="C609" s="1" t="s">
        <v>6</v>
      </c>
      <c r="D609" s="1">
        <v>1.0</v>
      </c>
      <c r="E609" s="1" t="s">
        <v>7</v>
      </c>
      <c r="F609" s="1">
        <v>266039.0</v>
      </c>
    </row>
    <row r="610">
      <c r="A610" s="1">
        <v>608.0</v>
      </c>
      <c r="B610" s="1" t="s">
        <v>578</v>
      </c>
      <c r="C610" s="1" t="s">
        <v>6</v>
      </c>
      <c r="D610" s="1">
        <v>1.0</v>
      </c>
      <c r="E610" s="1" t="s">
        <v>7</v>
      </c>
      <c r="F610" s="1">
        <v>1022786.0</v>
      </c>
    </row>
    <row r="611">
      <c r="A611" s="1">
        <v>609.0</v>
      </c>
      <c r="B611" s="1" t="s">
        <v>579</v>
      </c>
      <c r="C611" s="1" t="s">
        <v>6</v>
      </c>
      <c r="D611" s="1">
        <v>1.0</v>
      </c>
      <c r="E611" s="1" t="s">
        <v>7</v>
      </c>
      <c r="F611" s="1">
        <v>237.0</v>
      </c>
    </row>
    <row r="612">
      <c r="A612" s="1">
        <v>610.0</v>
      </c>
      <c r="B612" s="1" t="s">
        <v>580</v>
      </c>
      <c r="C612" s="1" t="s">
        <v>6</v>
      </c>
      <c r="D612" s="1">
        <v>1.0</v>
      </c>
      <c r="E612" s="1" t="s">
        <v>7</v>
      </c>
      <c r="F612" s="1">
        <v>618607.0</v>
      </c>
    </row>
    <row r="613">
      <c r="A613" s="1">
        <v>611.0</v>
      </c>
      <c r="B613" s="1" t="s">
        <v>581</v>
      </c>
      <c r="C613" s="1" t="s">
        <v>6</v>
      </c>
      <c r="D613" s="1">
        <v>1.0</v>
      </c>
      <c r="E613" s="1" t="s">
        <v>7</v>
      </c>
      <c r="F613" s="1">
        <v>1000.0</v>
      </c>
    </row>
    <row r="614">
      <c r="A614" s="1">
        <v>612.0</v>
      </c>
      <c r="B614" s="1" t="s">
        <v>582</v>
      </c>
      <c r="C614" s="1" t="s">
        <v>6</v>
      </c>
      <c r="D614" s="1">
        <v>1.0</v>
      </c>
      <c r="E614" s="1" t="s">
        <v>7</v>
      </c>
      <c r="F614" s="1">
        <v>499807.0</v>
      </c>
    </row>
    <row r="615">
      <c r="A615" s="1">
        <v>613.0</v>
      </c>
      <c r="B615" s="1" t="s">
        <v>583</v>
      </c>
      <c r="C615" s="1" t="s">
        <v>6</v>
      </c>
      <c r="D615" s="1">
        <v>1.0</v>
      </c>
      <c r="E615" s="1" t="s">
        <v>7</v>
      </c>
      <c r="F615" s="1">
        <v>1962026.0</v>
      </c>
    </row>
    <row r="616">
      <c r="A616" s="1">
        <v>614.0</v>
      </c>
      <c r="B616" s="1" t="s">
        <v>584</v>
      </c>
      <c r="C616" s="1" t="s">
        <v>6</v>
      </c>
      <c r="D616" s="1">
        <v>1.0</v>
      </c>
      <c r="E616" s="1" t="s">
        <v>7</v>
      </c>
      <c r="F616" s="1">
        <v>237.0</v>
      </c>
    </row>
    <row r="617">
      <c r="A617" s="1">
        <v>615.0</v>
      </c>
      <c r="B617" s="1" t="s">
        <v>585</v>
      </c>
      <c r="C617" s="1" t="s">
        <v>6</v>
      </c>
      <c r="D617" s="1">
        <v>1.0</v>
      </c>
      <c r="E617" s="1" t="s">
        <v>7</v>
      </c>
      <c r="F617" s="1">
        <v>571859.0</v>
      </c>
    </row>
    <row r="618">
      <c r="A618" s="1">
        <v>616.0</v>
      </c>
      <c r="B618" s="1" t="s">
        <v>586</v>
      </c>
      <c r="C618" s="1" t="s">
        <v>6</v>
      </c>
      <c r="D618" s="1">
        <v>1.0</v>
      </c>
      <c r="E618" s="1" t="s">
        <v>7</v>
      </c>
      <c r="F618" s="1">
        <v>77905.0</v>
      </c>
    </row>
    <row r="619">
      <c r="A619" s="1">
        <v>617.0</v>
      </c>
      <c r="B619" s="1" t="s">
        <v>587</v>
      </c>
      <c r="C619" s="1" t="s">
        <v>6</v>
      </c>
      <c r="D619" s="1">
        <v>1.0</v>
      </c>
      <c r="E619" s="1" t="s">
        <v>7</v>
      </c>
      <c r="F619" s="1">
        <v>75251.0</v>
      </c>
    </row>
    <row r="620">
      <c r="A620" s="1">
        <v>618.0</v>
      </c>
      <c r="B620" s="1" t="s">
        <v>588</v>
      </c>
      <c r="C620" s="1" t="s">
        <v>6</v>
      </c>
      <c r="D620" s="1">
        <v>1.0</v>
      </c>
      <c r="E620" s="1" t="s">
        <v>7</v>
      </c>
      <c r="F620" s="1">
        <v>1539717.0</v>
      </c>
    </row>
    <row r="621">
      <c r="A621" s="1">
        <v>619.0</v>
      </c>
      <c r="B621" s="1" t="s">
        <v>589</v>
      </c>
      <c r="C621" s="1" t="s">
        <v>6</v>
      </c>
      <c r="D621" s="1">
        <v>1.0</v>
      </c>
      <c r="E621" s="1" t="s">
        <v>7</v>
      </c>
      <c r="F621" s="1">
        <v>792197.0</v>
      </c>
    </row>
    <row r="622">
      <c r="A622" s="1">
        <v>620.0</v>
      </c>
      <c r="B622" s="1" t="s">
        <v>590</v>
      </c>
      <c r="C622" s="1" t="s">
        <v>6</v>
      </c>
      <c r="D622" s="1">
        <v>1.0</v>
      </c>
      <c r="E622" s="1" t="s">
        <v>7</v>
      </c>
      <c r="F622" s="1">
        <v>1099231.0</v>
      </c>
    </row>
    <row r="623">
      <c r="A623" s="1">
        <v>621.0</v>
      </c>
      <c r="B623" s="1" t="s">
        <v>591</v>
      </c>
      <c r="C623" s="1" t="s">
        <v>6</v>
      </c>
      <c r="D623" s="1">
        <v>1.0</v>
      </c>
      <c r="E623" s="1" t="s">
        <v>7</v>
      </c>
      <c r="F623" s="1">
        <v>1454222.0</v>
      </c>
    </row>
    <row r="624">
      <c r="A624" s="1">
        <v>622.0</v>
      </c>
      <c r="B624" s="1" t="s">
        <v>111</v>
      </c>
      <c r="C624" s="1" t="s">
        <v>6</v>
      </c>
      <c r="D624" s="1">
        <v>1.0</v>
      </c>
      <c r="E624" s="1" t="s">
        <v>7</v>
      </c>
      <c r="F624" s="1">
        <v>39345.0</v>
      </c>
    </row>
    <row r="625">
      <c r="A625" s="1">
        <v>623.0</v>
      </c>
      <c r="B625" s="1" t="s">
        <v>592</v>
      </c>
      <c r="C625" s="1" t="s">
        <v>6</v>
      </c>
      <c r="D625" s="1">
        <v>1.0</v>
      </c>
      <c r="E625" s="1" t="s">
        <v>7</v>
      </c>
      <c r="F625" s="1">
        <v>347314.0</v>
      </c>
    </row>
    <row r="626">
      <c r="A626" s="1">
        <v>624.0</v>
      </c>
      <c r="B626" s="1" t="s">
        <v>62</v>
      </c>
      <c r="C626" s="1" t="s">
        <v>6</v>
      </c>
      <c r="D626" s="1">
        <v>1.0</v>
      </c>
      <c r="E626" s="1" t="s">
        <v>7</v>
      </c>
      <c r="F626" s="1">
        <v>1143861.0</v>
      </c>
    </row>
    <row r="627">
      <c r="A627" s="1">
        <v>625.0</v>
      </c>
      <c r="B627" s="1" t="s">
        <v>593</v>
      </c>
      <c r="C627" s="1" t="s">
        <v>6</v>
      </c>
      <c r="D627" s="1">
        <v>1.0</v>
      </c>
      <c r="E627" s="1" t="s">
        <v>7</v>
      </c>
      <c r="F627" s="1">
        <v>61068.0</v>
      </c>
    </row>
    <row r="628">
      <c r="A628" s="1">
        <v>626.0</v>
      </c>
      <c r="B628" s="1" t="s">
        <v>594</v>
      </c>
      <c r="C628" s="1" t="s">
        <v>6</v>
      </c>
      <c r="D628" s="1">
        <v>1.0</v>
      </c>
      <c r="E628" s="1" t="s">
        <v>7</v>
      </c>
      <c r="F628" s="1">
        <v>100325.0</v>
      </c>
    </row>
    <row r="629">
      <c r="A629" s="1">
        <v>627.0</v>
      </c>
      <c r="B629" s="1" t="s">
        <v>595</v>
      </c>
      <c r="C629" s="1" t="s">
        <v>6</v>
      </c>
      <c r="D629" s="1">
        <v>1.0</v>
      </c>
      <c r="E629" s="1" t="s">
        <v>7</v>
      </c>
      <c r="F629" s="1">
        <v>3097936.0</v>
      </c>
    </row>
    <row r="630">
      <c r="A630" s="1">
        <v>628.0</v>
      </c>
      <c r="B630" s="1" t="s">
        <v>596</v>
      </c>
      <c r="C630" s="1" t="s">
        <v>6</v>
      </c>
      <c r="D630" s="1">
        <v>1.0</v>
      </c>
      <c r="E630" s="1" t="s">
        <v>7</v>
      </c>
      <c r="F630" s="1">
        <v>76161.0</v>
      </c>
    </row>
    <row r="631">
      <c r="A631" s="1">
        <v>629.0</v>
      </c>
      <c r="B631" s="1" t="s">
        <v>597</v>
      </c>
      <c r="C631" s="1" t="s">
        <v>6</v>
      </c>
      <c r="D631" s="1">
        <v>1.0</v>
      </c>
      <c r="E631" s="1" t="s">
        <v>7</v>
      </c>
      <c r="F631" s="1">
        <v>42821.0</v>
      </c>
    </row>
    <row r="632">
      <c r="A632" s="1">
        <v>630.0</v>
      </c>
      <c r="B632" s="1" t="s">
        <v>9</v>
      </c>
      <c r="C632" s="1" t="s">
        <v>6</v>
      </c>
      <c r="D632" s="1">
        <v>1.0</v>
      </c>
      <c r="E632" s="1" t="s">
        <v>7</v>
      </c>
      <c r="F632" s="1">
        <v>374688.0</v>
      </c>
    </row>
    <row r="633">
      <c r="A633" s="1">
        <v>631.0</v>
      </c>
      <c r="B633" s="1" t="s">
        <v>598</v>
      </c>
      <c r="C633" s="1" t="s">
        <v>6</v>
      </c>
      <c r="D633" s="1">
        <v>1.0</v>
      </c>
      <c r="E633" s="1" t="s">
        <v>7</v>
      </c>
      <c r="F633" s="1">
        <v>1008616.0</v>
      </c>
    </row>
    <row r="634">
      <c r="A634" s="1">
        <v>632.0</v>
      </c>
      <c r="B634" s="1" t="s">
        <v>599</v>
      </c>
      <c r="C634" s="1" t="s">
        <v>6</v>
      </c>
      <c r="D634" s="1">
        <v>1.0</v>
      </c>
      <c r="E634" s="1" t="s">
        <v>7</v>
      </c>
      <c r="F634" s="1">
        <v>101227.0</v>
      </c>
    </row>
    <row r="635">
      <c r="A635" s="1">
        <v>633.0</v>
      </c>
      <c r="B635" s="1" t="s">
        <v>600</v>
      </c>
      <c r="C635" s="1" t="s">
        <v>6</v>
      </c>
      <c r="D635" s="1">
        <v>1.0</v>
      </c>
      <c r="E635" s="1" t="s">
        <v>7</v>
      </c>
      <c r="F635" s="1">
        <v>67517.0</v>
      </c>
    </row>
    <row r="636">
      <c r="A636" s="1">
        <v>634.0</v>
      </c>
      <c r="B636" s="1" t="s">
        <v>601</v>
      </c>
      <c r="C636" s="1" t="s">
        <v>6</v>
      </c>
      <c r="D636" s="1">
        <v>1.0</v>
      </c>
      <c r="E636" s="1" t="s">
        <v>7</v>
      </c>
      <c r="F636" s="1">
        <v>3411087.0</v>
      </c>
    </row>
    <row r="637">
      <c r="A637" s="1">
        <v>635.0</v>
      </c>
      <c r="B637" s="1" t="s">
        <v>602</v>
      </c>
      <c r="C637" s="1" t="s">
        <v>6</v>
      </c>
      <c r="D637" s="1">
        <v>1.0</v>
      </c>
      <c r="E637" s="1" t="s">
        <v>7</v>
      </c>
      <c r="F637" s="1">
        <v>1032645.0</v>
      </c>
    </row>
    <row r="638">
      <c r="A638" s="1">
        <v>636.0</v>
      </c>
      <c r="B638" s="1" t="s">
        <v>603</v>
      </c>
      <c r="C638" s="1" t="s">
        <v>6</v>
      </c>
      <c r="D638" s="1">
        <v>1.0</v>
      </c>
      <c r="E638" s="1" t="s">
        <v>7</v>
      </c>
      <c r="F638" s="1">
        <v>2005493.0</v>
      </c>
    </row>
    <row r="639">
      <c r="A639" s="1">
        <v>637.0</v>
      </c>
      <c r="B639" s="1" t="s">
        <v>604</v>
      </c>
      <c r="C639" s="1" t="s">
        <v>6</v>
      </c>
      <c r="D639" s="1">
        <v>1.0</v>
      </c>
      <c r="E639" s="1" t="s">
        <v>7</v>
      </c>
      <c r="F639" s="1">
        <v>535268.0</v>
      </c>
    </row>
    <row r="640">
      <c r="A640" s="1">
        <v>638.0</v>
      </c>
      <c r="B640" s="1" t="s">
        <v>605</v>
      </c>
      <c r="C640" s="1" t="s">
        <v>6</v>
      </c>
      <c r="D640" s="1">
        <v>1.0</v>
      </c>
      <c r="E640" s="1" t="s">
        <v>7</v>
      </c>
      <c r="F640" s="1">
        <v>502448.0</v>
      </c>
    </row>
    <row r="641">
      <c r="A641" s="1">
        <v>639.0</v>
      </c>
      <c r="B641" s="1" t="s">
        <v>606</v>
      </c>
      <c r="C641" s="1" t="s">
        <v>6</v>
      </c>
      <c r="D641" s="1">
        <v>1.0</v>
      </c>
      <c r="E641" s="1" t="s">
        <v>7</v>
      </c>
      <c r="F641" s="1">
        <v>36117.0</v>
      </c>
    </row>
    <row r="642">
      <c r="A642" s="1">
        <v>640.0</v>
      </c>
      <c r="B642" s="1" t="s">
        <v>607</v>
      </c>
      <c r="C642" s="1" t="s">
        <v>6</v>
      </c>
      <c r="D642" s="1">
        <v>1.0</v>
      </c>
      <c r="E642" s="1" t="s">
        <v>7</v>
      </c>
      <c r="F642" s="1">
        <v>472514.0</v>
      </c>
    </row>
    <row r="643">
      <c r="A643" s="1">
        <v>641.0</v>
      </c>
      <c r="B643" s="1" t="s">
        <v>608</v>
      </c>
      <c r="C643" s="1" t="s">
        <v>6</v>
      </c>
      <c r="D643" s="1">
        <v>1.0</v>
      </c>
      <c r="E643" s="1" t="s">
        <v>7</v>
      </c>
      <c r="F643" s="1">
        <v>354237.0</v>
      </c>
    </row>
    <row r="644">
      <c r="A644" s="1">
        <v>642.0</v>
      </c>
      <c r="B644" s="1" t="s">
        <v>609</v>
      </c>
      <c r="C644" s="1" t="s">
        <v>6</v>
      </c>
      <c r="D644" s="1">
        <v>1.0</v>
      </c>
      <c r="E644" s="1" t="s">
        <v>7</v>
      </c>
      <c r="F644" s="1">
        <v>4498962.0</v>
      </c>
    </row>
    <row r="645">
      <c r="A645" s="1">
        <v>643.0</v>
      </c>
      <c r="B645" s="1" t="s">
        <v>610</v>
      </c>
      <c r="C645" s="1" t="s">
        <v>6</v>
      </c>
      <c r="D645" s="1">
        <v>1.0</v>
      </c>
      <c r="E645" s="1" t="s">
        <v>7</v>
      </c>
      <c r="F645" s="1">
        <v>340.0</v>
      </c>
    </row>
    <row r="646">
      <c r="A646" s="1">
        <v>644.0</v>
      </c>
      <c r="B646" s="1" t="s">
        <v>611</v>
      </c>
      <c r="C646" s="1" t="s">
        <v>6</v>
      </c>
      <c r="D646" s="1">
        <v>1.0</v>
      </c>
      <c r="E646" s="1" t="s">
        <v>7</v>
      </c>
      <c r="F646" s="1">
        <v>1088834.0</v>
      </c>
    </row>
    <row r="647">
      <c r="A647" s="1">
        <v>645.0</v>
      </c>
      <c r="B647" s="1" t="s">
        <v>612</v>
      </c>
      <c r="C647" s="1" t="s">
        <v>6</v>
      </c>
      <c r="D647" s="1">
        <v>1.0</v>
      </c>
      <c r="E647" s="1" t="s">
        <v>7</v>
      </c>
      <c r="F647" s="1">
        <v>409290.0</v>
      </c>
    </row>
    <row r="648">
      <c r="A648" s="1">
        <v>646.0</v>
      </c>
      <c r="B648" s="1" t="s">
        <v>613</v>
      </c>
      <c r="C648" s="1" t="s">
        <v>6</v>
      </c>
      <c r="D648" s="1">
        <v>1.0</v>
      </c>
      <c r="E648" s="1" t="s">
        <v>7</v>
      </c>
      <c r="F648" s="1">
        <v>613519.0</v>
      </c>
    </row>
    <row r="649">
      <c r="A649" s="1">
        <v>647.0</v>
      </c>
      <c r="B649" s="1" t="s">
        <v>9</v>
      </c>
      <c r="C649" s="1" t="s">
        <v>6</v>
      </c>
      <c r="D649" s="1">
        <v>30.0</v>
      </c>
      <c r="E649" s="1" t="s">
        <v>614</v>
      </c>
      <c r="F649" s="1">
        <v>717331.0</v>
      </c>
    </row>
    <row r="650">
      <c r="A650" s="1">
        <v>648.0</v>
      </c>
      <c r="B650" s="1" t="s">
        <v>615</v>
      </c>
      <c r="C650" s="1" t="s">
        <v>6</v>
      </c>
      <c r="D650" s="1">
        <v>17.0</v>
      </c>
      <c r="E650" s="1" t="s">
        <v>614</v>
      </c>
      <c r="F650" s="1">
        <v>1163186.0</v>
      </c>
    </row>
    <row r="651">
      <c r="A651" s="1">
        <v>649.0</v>
      </c>
      <c r="B651" s="1" t="s">
        <v>8</v>
      </c>
      <c r="C651" s="1" t="s">
        <v>6</v>
      </c>
      <c r="D651" s="1">
        <v>11.0</v>
      </c>
      <c r="E651" s="1" t="s">
        <v>614</v>
      </c>
      <c r="F651" s="1">
        <v>1036536.0</v>
      </c>
    </row>
    <row r="652">
      <c r="A652" s="1">
        <v>650.0</v>
      </c>
      <c r="B652" s="1" t="s">
        <v>616</v>
      </c>
      <c r="C652" s="1" t="s">
        <v>6</v>
      </c>
      <c r="D652" s="1">
        <v>11.0</v>
      </c>
      <c r="E652" s="1" t="s">
        <v>614</v>
      </c>
      <c r="F652" s="1">
        <v>742883.0</v>
      </c>
    </row>
    <row r="653">
      <c r="A653" s="1">
        <v>651.0</v>
      </c>
      <c r="B653" s="1" t="s">
        <v>69</v>
      </c>
      <c r="C653" s="1" t="s">
        <v>6</v>
      </c>
      <c r="D653" s="1">
        <v>10.0</v>
      </c>
      <c r="E653" s="1" t="s">
        <v>614</v>
      </c>
      <c r="F653" s="1">
        <v>1294039.0</v>
      </c>
    </row>
    <row r="654">
      <c r="A654" s="1">
        <v>652.0</v>
      </c>
      <c r="B654" s="1" t="s">
        <v>617</v>
      </c>
      <c r="C654" s="1" t="s">
        <v>6</v>
      </c>
      <c r="D654" s="1">
        <v>10.0</v>
      </c>
      <c r="E654" s="1" t="s">
        <v>614</v>
      </c>
      <c r="F654" s="1">
        <v>1154579.0</v>
      </c>
    </row>
    <row r="655">
      <c r="A655" s="1">
        <v>653.0</v>
      </c>
      <c r="B655" s="1" t="s">
        <v>16</v>
      </c>
      <c r="C655" s="1" t="s">
        <v>6</v>
      </c>
      <c r="D655" s="1">
        <v>8.0</v>
      </c>
      <c r="E655" s="1" t="s">
        <v>614</v>
      </c>
      <c r="F655" s="1">
        <v>765632.0</v>
      </c>
    </row>
    <row r="656">
      <c r="A656" s="1">
        <v>654.0</v>
      </c>
      <c r="B656" s="1" t="s">
        <v>27</v>
      </c>
      <c r="C656" s="1" t="s">
        <v>6</v>
      </c>
      <c r="D656" s="1">
        <v>7.0</v>
      </c>
      <c r="E656" s="1" t="s">
        <v>614</v>
      </c>
      <c r="F656" s="1">
        <v>150.0</v>
      </c>
    </row>
    <row r="657">
      <c r="A657" s="1">
        <v>655.0</v>
      </c>
      <c r="B657" s="1" t="s">
        <v>405</v>
      </c>
      <c r="C657" s="1" t="s">
        <v>6</v>
      </c>
      <c r="D657" s="1">
        <v>7.0</v>
      </c>
      <c r="E657" s="1" t="s">
        <v>614</v>
      </c>
      <c r="F657" s="1">
        <v>956307.0</v>
      </c>
    </row>
    <row r="658">
      <c r="A658" s="1">
        <v>656.0</v>
      </c>
      <c r="B658" s="1" t="s">
        <v>618</v>
      </c>
      <c r="C658" s="1" t="s">
        <v>6</v>
      </c>
      <c r="D658" s="1">
        <v>7.0</v>
      </c>
      <c r="E658" s="1" t="s">
        <v>614</v>
      </c>
      <c r="F658" s="1">
        <v>816946.0</v>
      </c>
    </row>
    <row r="659">
      <c r="A659" s="1">
        <v>657.0</v>
      </c>
      <c r="B659" s="1" t="s">
        <v>619</v>
      </c>
      <c r="C659" s="1" t="s">
        <v>6</v>
      </c>
      <c r="D659" s="1">
        <v>6.0</v>
      </c>
      <c r="E659" s="1" t="s">
        <v>614</v>
      </c>
      <c r="F659" s="1">
        <v>1146043.0</v>
      </c>
    </row>
    <row r="660">
      <c r="A660" s="1">
        <v>658.0</v>
      </c>
      <c r="B660" s="1" t="s">
        <v>620</v>
      </c>
      <c r="C660" s="1" t="s">
        <v>6</v>
      </c>
      <c r="D660" s="1">
        <v>5.0</v>
      </c>
      <c r="E660" s="1" t="s">
        <v>614</v>
      </c>
      <c r="F660" s="1">
        <v>1114163.0</v>
      </c>
    </row>
    <row r="661">
      <c r="A661" s="1">
        <v>659.0</v>
      </c>
      <c r="B661" s="1" t="s">
        <v>621</v>
      </c>
      <c r="C661" s="1" t="s">
        <v>6</v>
      </c>
      <c r="D661" s="1">
        <v>5.0</v>
      </c>
      <c r="E661" s="1" t="s">
        <v>614</v>
      </c>
      <c r="F661" s="1">
        <v>1134768.0</v>
      </c>
    </row>
    <row r="662">
      <c r="A662" s="1">
        <v>660.0</v>
      </c>
      <c r="B662" s="1" t="s">
        <v>12</v>
      </c>
      <c r="C662" s="1" t="s">
        <v>6</v>
      </c>
      <c r="D662" s="1">
        <v>4.0</v>
      </c>
      <c r="E662" s="1" t="s">
        <v>614</v>
      </c>
      <c r="F662" s="1">
        <v>878252.0</v>
      </c>
    </row>
    <row r="663">
      <c r="A663" s="1">
        <v>661.0</v>
      </c>
      <c r="B663" s="1" t="s">
        <v>14</v>
      </c>
      <c r="C663" s="1" t="s">
        <v>6</v>
      </c>
      <c r="D663" s="1">
        <v>4.0</v>
      </c>
      <c r="E663" s="1" t="s">
        <v>614</v>
      </c>
      <c r="F663" s="1">
        <v>898351.0</v>
      </c>
    </row>
    <row r="664">
      <c r="A664" s="1">
        <v>662.0</v>
      </c>
      <c r="B664" s="1" t="s">
        <v>577</v>
      </c>
      <c r="C664" s="1" t="s">
        <v>6</v>
      </c>
      <c r="D664" s="1">
        <v>4.0</v>
      </c>
      <c r="E664" s="1" t="s">
        <v>614</v>
      </c>
      <c r="F664" s="1">
        <v>814017.0</v>
      </c>
    </row>
    <row r="665">
      <c r="A665" s="1">
        <v>663.0</v>
      </c>
      <c r="B665" s="1" t="s">
        <v>622</v>
      </c>
      <c r="C665" s="1" t="s">
        <v>6</v>
      </c>
      <c r="D665" s="1">
        <v>4.0</v>
      </c>
      <c r="E665" s="1" t="s">
        <v>614</v>
      </c>
      <c r="F665" s="1">
        <v>940423.0</v>
      </c>
    </row>
    <row r="666">
      <c r="A666" s="1">
        <v>664.0</v>
      </c>
      <c r="B666" s="1" t="s">
        <v>623</v>
      </c>
      <c r="C666" s="1" t="s">
        <v>6</v>
      </c>
      <c r="D666" s="1">
        <v>4.0</v>
      </c>
      <c r="E666" s="1" t="s">
        <v>614</v>
      </c>
      <c r="F666" s="1">
        <v>1121845.0</v>
      </c>
    </row>
    <row r="667">
      <c r="A667" s="1">
        <v>665.0</v>
      </c>
      <c r="B667" s="1" t="s">
        <v>624</v>
      </c>
      <c r="C667" s="1" t="s">
        <v>6</v>
      </c>
      <c r="D667" s="1">
        <v>4.0</v>
      </c>
      <c r="E667" s="1" t="s">
        <v>614</v>
      </c>
      <c r="F667" s="1">
        <v>1215906.0</v>
      </c>
    </row>
    <row r="668">
      <c r="A668" s="1">
        <v>666.0</v>
      </c>
      <c r="B668" s="1" t="s">
        <v>625</v>
      </c>
      <c r="C668" s="1" t="s">
        <v>6</v>
      </c>
      <c r="D668" s="1">
        <v>4.0</v>
      </c>
      <c r="E668" s="1" t="s">
        <v>614</v>
      </c>
      <c r="F668" s="1">
        <v>1055811.0</v>
      </c>
    </row>
    <row r="669">
      <c r="A669" s="1">
        <v>667.0</v>
      </c>
      <c r="B669" s="1" t="s">
        <v>626</v>
      </c>
      <c r="C669" s="1" t="s">
        <v>6</v>
      </c>
      <c r="D669" s="1">
        <v>4.0</v>
      </c>
      <c r="E669" s="1" t="s">
        <v>614</v>
      </c>
      <c r="F669" s="1">
        <v>1622612.0</v>
      </c>
    </row>
    <row r="670">
      <c r="A670" s="1">
        <v>668.0</v>
      </c>
      <c r="B670" s="1" t="s">
        <v>627</v>
      </c>
      <c r="C670" s="1" t="s">
        <v>6</v>
      </c>
      <c r="D670" s="1">
        <v>3.0</v>
      </c>
      <c r="E670" s="1" t="s">
        <v>614</v>
      </c>
      <c r="F670" s="1">
        <v>42249.0</v>
      </c>
    </row>
    <row r="671">
      <c r="A671" s="1">
        <v>669.0</v>
      </c>
      <c r="B671" s="1" t="s">
        <v>628</v>
      </c>
      <c r="C671" s="1" t="s">
        <v>6</v>
      </c>
      <c r="D671" s="1">
        <v>3.0</v>
      </c>
      <c r="E671" s="1" t="s">
        <v>614</v>
      </c>
      <c r="F671" s="1">
        <v>718534.0</v>
      </c>
    </row>
    <row r="672">
      <c r="A672" s="1">
        <v>670.0</v>
      </c>
      <c r="B672" s="1" t="s">
        <v>612</v>
      </c>
      <c r="C672" s="1" t="s">
        <v>6</v>
      </c>
      <c r="D672" s="1">
        <v>3.0</v>
      </c>
      <c r="E672" s="1" t="s">
        <v>614</v>
      </c>
      <c r="F672" s="1">
        <v>423422.0</v>
      </c>
    </row>
    <row r="673">
      <c r="A673" s="1">
        <v>671.0</v>
      </c>
      <c r="B673" s="1" t="s">
        <v>629</v>
      </c>
      <c r="C673" s="1" t="s">
        <v>6</v>
      </c>
      <c r="D673" s="1">
        <v>3.0</v>
      </c>
      <c r="E673" s="1" t="s">
        <v>614</v>
      </c>
      <c r="F673" s="1">
        <v>1733746.0</v>
      </c>
    </row>
    <row r="674">
      <c r="A674" s="1">
        <v>672.0</v>
      </c>
      <c r="B674" s="1" t="s">
        <v>630</v>
      </c>
      <c r="C674" s="1" t="s">
        <v>6</v>
      </c>
      <c r="D674" s="1">
        <v>3.0</v>
      </c>
      <c r="E674" s="1" t="s">
        <v>614</v>
      </c>
      <c r="F674" s="1">
        <v>1655120.0</v>
      </c>
    </row>
    <row r="675">
      <c r="A675" s="1">
        <v>673.0</v>
      </c>
      <c r="B675" s="1" t="s">
        <v>631</v>
      </c>
      <c r="C675" s="1" t="s">
        <v>6</v>
      </c>
      <c r="D675" s="1">
        <v>3.0</v>
      </c>
      <c r="E675" s="1" t="s">
        <v>614</v>
      </c>
      <c r="F675" s="1">
        <v>1421672.0</v>
      </c>
    </row>
    <row r="676">
      <c r="A676" s="1">
        <v>674.0</v>
      </c>
      <c r="B676" s="1" t="s">
        <v>632</v>
      </c>
      <c r="C676" s="1" t="s">
        <v>6</v>
      </c>
      <c r="D676" s="1">
        <v>3.0</v>
      </c>
      <c r="E676" s="1" t="s">
        <v>614</v>
      </c>
      <c r="F676" s="1">
        <v>934857.0</v>
      </c>
    </row>
    <row r="677">
      <c r="A677" s="1">
        <v>675.0</v>
      </c>
      <c r="B677" s="1" t="s">
        <v>633</v>
      </c>
      <c r="C677" s="1" t="s">
        <v>6</v>
      </c>
      <c r="D677" s="1">
        <v>3.0</v>
      </c>
      <c r="E677" s="1" t="s">
        <v>614</v>
      </c>
      <c r="F677" s="1">
        <v>56.0</v>
      </c>
    </row>
    <row r="678">
      <c r="A678" s="1">
        <v>676.0</v>
      </c>
      <c r="B678" s="1" t="s">
        <v>634</v>
      </c>
      <c r="C678" s="1" t="s">
        <v>6</v>
      </c>
      <c r="D678" s="1">
        <v>3.0</v>
      </c>
      <c r="E678" s="1" t="s">
        <v>614</v>
      </c>
      <c r="F678" s="1">
        <v>411680.0</v>
      </c>
    </row>
    <row r="679">
      <c r="A679" s="1">
        <v>677.0</v>
      </c>
      <c r="B679" s="1" t="s">
        <v>59</v>
      </c>
      <c r="C679" s="1" t="s">
        <v>6</v>
      </c>
      <c r="D679" s="1">
        <v>2.0</v>
      </c>
      <c r="E679" s="1" t="s">
        <v>614</v>
      </c>
      <c r="F679" s="1">
        <v>61248.0</v>
      </c>
    </row>
    <row r="680">
      <c r="A680" s="1">
        <v>678.0</v>
      </c>
      <c r="B680" s="1" t="s">
        <v>33</v>
      </c>
      <c r="C680" s="1" t="s">
        <v>6</v>
      </c>
      <c r="D680" s="1">
        <v>2.0</v>
      </c>
      <c r="E680" s="1" t="s">
        <v>614</v>
      </c>
      <c r="F680" s="1">
        <v>51920.0</v>
      </c>
    </row>
    <row r="681">
      <c r="A681" s="1">
        <v>679.0</v>
      </c>
      <c r="B681" s="1" t="s">
        <v>149</v>
      </c>
      <c r="C681" s="1" t="s">
        <v>6</v>
      </c>
      <c r="D681" s="1">
        <v>2.0</v>
      </c>
      <c r="E681" s="1" t="s">
        <v>614</v>
      </c>
      <c r="F681" s="1">
        <v>232796.0</v>
      </c>
    </row>
    <row r="682">
      <c r="A682" s="1">
        <v>680.0</v>
      </c>
      <c r="B682" s="1" t="s">
        <v>530</v>
      </c>
      <c r="C682" s="1" t="s">
        <v>6</v>
      </c>
      <c r="D682" s="1">
        <v>2.0</v>
      </c>
      <c r="E682" s="1" t="s">
        <v>614</v>
      </c>
      <c r="F682" s="1">
        <v>1001630.0</v>
      </c>
    </row>
    <row r="683">
      <c r="A683" s="1">
        <v>681.0</v>
      </c>
      <c r="B683" s="1" t="s">
        <v>77</v>
      </c>
      <c r="C683" s="1" t="s">
        <v>6</v>
      </c>
      <c r="D683" s="1">
        <v>2.0</v>
      </c>
      <c r="E683" s="1" t="s">
        <v>614</v>
      </c>
      <c r="F683" s="1">
        <v>1577759.0</v>
      </c>
    </row>
    <row r="684">
      <c r="A684" s="1">
        <v>682.0</v>
      </c>
      <c r="B684" s="1" t="s">
        <v>635</v>
      </c>
      <c r="C684" s="1" t="s">
        <v>6</v>
      </c>
      <c r="D684" s="1">
        <v>2.0</v>
      </c>
      <c r="E684" s="1" t="s">
        <v>614</v>
      </c>
      <c r="F684" s="1">
        <v>52491.0</v>
      </c>
    </row>
    <row r="685">
      <c r="A685" s="1">
        <v>683.0</v>
      </c>
      <c r="B685" s="1" t="s">
        <v>636</v>
      </c>
      <c r="C685" s="1" t="s">
        <v>6</v>
      </c>
      <c r="D685" s="1">
        <v>2.0</v>
      </c>
      <c r="E685" s="1" t="s">
        <v>614</v>
      </c>
      <c r="F685" s="1">
        <v>5216933.0</v>
      </c>
    </row>
    <row r="686">
      <c r="A686" s="1">
        <v>684.0</v>
      </c>
      <c r="B686" s="1" t="s">
        <v>637</v>
      </c>
      <c r="C686" s="1" t="s">
        <v>6</v>
      </c>
      <c r="D686" s="1">
        <v>2.0</v>
      </c>
      <c r="E686" s="1" t="s">
        <v>614</v>
      </c>
      <c r="F686" s="1">
        <v>1463658.0</v>
      </c>
    </row>
    <row r="687">
      <c r="A687" s="1">
        <v>685.0</v>
      </c>
      <c r="B687" s="1" t="s">
        <v>638</v>
      </c>
      <c r="C687" s="1" t="s">
        <v>6</v>
      </c>
      <c r="D687" s="1">
        <v>2.0</v>
      </c>
      <c r="E687" s="1" t="s">
        <v>614</v>
      </c>
      <c r="F687" s="1">
        <v>1772001.0</v>
      </c>
    </row>
    <row r="688">
      <c r="A688" s="1">
        <v>686.0</v>
      </c>
      <c r="B688" s="1" t="s">
        <v>639</v>
      </c>
      <c r="C688" s="1" t="s">
        <v>6</v>
      </c>
      <c r="D688" s="1">
        <v>2.0</v>
      </c>
      <c r="E688" s="1" t="s">
        <v>614</v>
      </c>
      <c r="F688" s="1">
        <v>834387.0</v>
      </c>
    </row>
    <row r="689">
      <c r="A689" s="1">
        <v>687.0</v>
      </c>
      <c r="B689" s="1" t="s">
        <v>640</v>
      </c>
      <c r="C689" s="1" t="s">
        <v>6</v>
      </c>
      <c r="D689" s="1">
        <v>2.0</v>
      </c>
      <c r="E689" s="1" t="s">
        <v>614</v>
      </c>
      <c r="F689" s="1">
        <v>828221.0</v>
      </c>
    </row>
    <row r="690">
      <c r="A690" s="1">
        <v>688.0</v>
      </c>
      <c r="B690" s="1" t="s">
        <v>641</v>
      </c>
      <c r="C690" s="1" t="s">
        <v>6</v>
      </c>
      <c r="D690" s="1">
        <v>2.0</v>
      </c>
      <c r="E690" s="1" t="s">
        <v>614</v>
      </c>
      <c r="F690" s="1">
        <v>100275.0</v>
      </c>
    </row>
    <row r="691">
      <c r="A691" s="1">
        <v>689.0</v>
      </c>
      <c r="B691" s="1" t="s">
        <v>642</v>
      </c>
      <c r="C691" s="1" t="s">
        <v>6</v>
      </c>
      <c r="D691" s="1">
        <v>2.0</v>
      </c>
      <c r="E691" s="1" t="s">
        <v>614</v>
      </c>
      <c r="F691" s="1">
        <v>932104.0</v>
      </c>
    </row>
    <row r="692">
      <c r="A692" s="1">
        <v>690.0</v>
      </c>
      <c r="B692" s="1" t="s">
        <v>643</v>
      </c>
      <c r="C692" s="1" t="s">
        <v>6</v>
      </c>
      <c r="D692" s="1">
        <v>2.0</v>
      </c>
      <c r="E692" s="1" t="s">
        <v>614</v>
      </c>
      <c r="F692" s="1">
        <v>983550.0</v>
      </c>
    </row>
    <row r="693">
      <c r="A693" s="1">
        <v>691.0</v>
      </c>
      <c r="B693" s="1" t="s">
        <v>644</v>
      </c>
      <c r="C693" s="1" t="s">
        <v>6</v>
      </c>
      <c r="D693" s="1">
        <v>2.0</v>
      </c>
      <c r="E693" s="1" t="s">
        <v>614</v>
      </c>
      <c r="F693" s="1">
        <v>25446.0</v>
      </c>
    </row>
    <row r="694">
      <c r="A694" s="1">
        <v>692.0</v>
      </c>
      <c r="B694" s="1" t="s">
        <v>645</v>
      </c>
      <c r="C694" s="1" t="s">
        <v>6</v>
      </c>
      <c r="D694" s="1">
        <v>2.0</v>
      </c>
      <c r="E694" s="1" t="s">
        <v>614</v>
      </c>
      <c r="F694" s="1">
        <v>602.0</v>
      </c>
    </row>
    <row r="695">
      <c r="A695" s="1">
        <v>693.0</v>
      </c>
      <c r="B695" s="1" t="s">
        <v>646</v>
      </c>
      <c r="C695" s="1" t="s">
        <v>6</v>
      </c>
      <c r="D695" s="1">
        <v>2.0</v>
      </c>
      <c r="E695" s="1" t="s">
        <v>614</v>
      </c>
      <c r="F695" s="1">
        <v>53475.0</v>
      </c>
    </row>
    <row r="696">
      <c r="A696" s="1">
        <v>694.0</v>
      </c>
      <c r="B696" s="1" t="s">
        <v>647</v>
      </c>
      <c r="C696" s="1" t="s">
        <v>6</v>
      </c>
      <c r="D696" s="1">
        <v>2.0</v>
      </c>
      <c r="E696" s="1" t="s">
        <v>614</v>
      </c>
      <c r="F696" s="1">
        <v>1161602.0</v>
      </c>
    </row>
    <row r="697">
      <c r="A697" s="1">
        <v>695.0</v>
      </c>
      <c r="B697" s="1" t="s">
        <v>648</v>
      </c>
      <c r="C697" s="1" t="s">
        <v>6</v>
      </c>
      <c r="D697" s="1">
        <v>2.0</v>
      </c>
      <c r="E697" s="1" t="s">
        <v>614</v>
      </c>
      <c r="F697" s="1">
        <v>63058.0</v>
      </c>
    </row>
    <row r="698">
      <c r="A698" s="1">
        <v>696.0</v>
      </c>
      <c r="B698" s="1" t="s">
        <v>649</v>
      </c>
      <c r="C698" s="1" t="s">
        <v>6</v>
      </c>
      <c r="D698" s="1">
        <v>2.0</v>
      </c>
      <c r="E698" s="1" t="s">
        <v>614</v>
      </c>
      <c r="F698" s="1">
        <v>46977.0</v>
      </c>
    </row>
    <row r="699">
      <c r="A699" s="1">
        <v>697.0</v>
      </c>
      <c r="B699" s="1" t="s">
        <v>650</v>
      </c>
      <c r="C699" s="1" t="s">
        <v>6</v>
      </c>
      <c r="D699" s="1">
        <v>2.0</v>
      </c>
      <c r="E699" s="1" t="s">
        <v>614</v>
      </c>
      <c r="F699" s="1">
        <v>283914.0</v>
      </c>
    </row>
    <row r="700">
      <c r="A700" s="1">
        <v>698.0</v>
      </c>
      <c r="B700" s="1" t="s">
        <v>651</v>
      </c>
      <c r="C700" s="1" t="s">
        <v>6</v>
      </c>
      <c r="D700" s="1">
        <v>2.0</v>
      </c>
      <c r="E700" s="1" t="s">
        <v>614</v>
      </c>
      <c r="F700" s="1">
        <v>731758.0</v>
      </c>
    </row>
    <row r="701">
      <c r="A701" s="1">
        <v>699.0</v>
      </c>
      <c r="B701" s="1" t="s">
        <v>652</v>
      </c>
      <c r="C701" s="1" t="s">
        <v>6</v>
      </c>
      <c r="D701" s="1">
        <v>2.0</v>
      </c>
      <c r="E701" s="1" t="s">
        <v>614</v>
      </c>
      <c r="F701" s="1">
        <v>1687208.0</v>
      </c>
    </row>
    <row r="702">
      <c r="A702" s="1">
        <v>700.0</v>
      </c>
      <c r="B702" s="1" t="s">
        <v>653</v>
      </c>
      <c r="C702" s="1" t="s">
        <v>6</v>
      </c>
      <c r="D702" s="1">
        <v>2.0</v>
      </c>
      <c r="E702" s="1" t="s">
        <v>614</v>
      </c>
      <c r="F702" s="1">
        <v>713466.0</v>
      </c>
    </row>
    <row r="703">
      <c r="A703" s="1">
        <v>701.0</v>
      </c>
      <c r="B703" s="1" t="s">
        <v>654</v>
      </c>
      <c r="C703" s="1" t="s">
        <v>6</v>
      </c>
      <c r="D703" s="1">
        <v>2.0</v>
      </c>
      <c r="E703" s="1" t="s">
        <v>614</v>
      </c>
      <c r="F703" s="1">
        <v>56250.0</v>
      </c>
    </row>
    <row r="704">
      <c r="A704" s="1">
        <v>702.0</v>
      </c>
      <c r="B704" s="1" t="s">
        <v>655</v>
      </c>
      <c r="C704" s="1" t="s">
        <v>6</v>
      </c>
      <c r="D704" s="1">
        <v>2.0</v>
      </c>
      <c r="E704" s="1" t="s">
        <v>614</v>
      </c>
      <c r="F704" s="1">
        <v>499961.0</v>
      </c>
    </row>
    <row r="705">
      <c r="A705" s="1">
        <v>703.0</v>
      </c>
      <c r="B705" s="1" t="s">
        <v>656</v>
      </c>
      <c r="C705" s="1" t="s">
        <v>6</v>
      </c>
      <c r="D705" s="1">
        <v>2.0</v>
      </c>
      <c r="E705" s="1" t="s">
        <v>614</v>
      </c>
      <c r="F705" s="1">
        <v>895000.0</v>
      </c>
    </row>
    <row r="706">
      <c r="A706" s="1">
        <v>704.0</v>
      </c>
      <c r="B706" s="1" t="s">
        <v>657</v>
      </c>
      <c r="C706" s="1" t="s">
        <v>6</v>
      </c>
      <c r="D706" s="1">
        <v>2.0</v>
      </c>
      <c r="E706" s="1" t="s">
        <v>614</v>
      </c>
      <c r="F706" s="1">
        <v>253851.0</v>
      </c>
    </row>
    <row r="707">
      <c r="A707" s="1">
        <v>705.0</v>
      </c>
      <c r="B707" s="1" t="s">
        <v>658</v>
      </c>
      <c r="C707" s="1" t="s">
        <v>6</v>
      </c>
      <c r="D707" s="1">
        <v>2.0</v>
      </c>
      <c r="E707" s="1" t="s">
        <v>614</v>
      </c>
      <c r="F707" s="1">
        <v>637645.0</v>
      </c>
    </row>
    <row r="708">
      <c r="A708" s="1">
        <v>706.0</v>
      </c>
      <c r="B708" s="1" t="s">
        <v>659</v>
      </c>
      <c r="C708" s="1" t="s">
        <v>6</v>
      </c>
      <c r="D708" s="1">
        <v>2.0</v>
      </c>
      <c r="E708" s="1" t="s">
        <v>614</v>
      </c>
      <c r="F708" s="1">
        <v>1954650.0</v>
      </c>
    </row>
    <row r="709">
      <c r="A709" s="1">
        <v>707.0</v>
      </c>
      <c r="B709" s="1" t="s">
        <v>660</v>
      </c>
      <c r="C709" s="1" t="s">
        <v>6</v>
      </c>
      <c r="D709" s="1">
        <v>2.0</v>
      </c>
      <c r="E709" s="1" t="s">
        <v>614</v>
      </c>
      <c r="F709" s="1">
        <v>669083.0</v>
      </c>
    </row>
    <row r="710">
      <c r="A710" s="1">
        <v>708.0</v>
      </c>
      <c r="B710" s="1" t="s">
        <v>583</v>
      </c>
      <c r="C710" s="1" t="s">
        <v>6</v>
      </c>
      <c r="D710" s="1">
        <v>2.0</v>
      </c>
      <c r="E710" s="1" t="s">
        <v>614</v>
      </c>
      <c r="F710" s="1">
        <v>1833778.0</v>
      </c>
    </row>
    <row r="711">
      <c r="A711" s="1">
        <v>709.0</v>
      </c>
      <c r="B711" s="1" t="s">
        <v>9</v>
      </c>
      <c r="C711" s="1" t="s">
        <v>6</v>
      </c>
      <c r="D711" s="1">
        <v>1.0</v>
      </c>
      <c r="E711" s="1" t="s">
        <v>614</v>
      </c>
      <c r="F711" s="1">
        <v>703427.0</v>
      </c>
    </row>
    <row r="712">
      <c r="A712" s="1">
        <v>710.0</v>
      </c>
      <c r="B712" s="1" t="s">
        <v>469</v>
      </c>
      <c r="C712" s="1" t="s">
        <v>6</v>
      </c>
      <c r="D712" s="1">
        <v>1.0</v>
      </c>
      <c r="E712" s="1" t="s">
        <v>614</v>
      </c>
      <c r="F712" s="1">
        <v>115884.0</v>
      </c>
    </row>
    <row r="713">
      <c r="A713" s="1">
        <v>711.0</v>
      </c>
      <c r="B713" s="1" t="s">
        <v>627</v>
      </c>
      <c r="C713" s="1" t="s">
        <v>6</v>
      </c>
      <c r="D713" s="1">
        <v>1.0</v>
      </c>
      <c r="E713" s="1" t="s">
        <v>614</v>
      </c>
      <c r="F713" s="1">
        <v>1.0</v>
      </c>
    </row>
    <row r="714">
      <c r="A714" s="1">
        <v>712.0</v>
      </c>
      <c r="B714" s="1" t="s">
        <v>661</v>
      </c>
      <c r="C714" s="1" t="s">
        <v>6</v>
      </c>
      <c r="D714" s="1">
        <v>1.0</v>
      </c>
      <c r="E714" s="1" t="s">
        <v>614</v>
      </c>
      <c r="F714" s="1">
        <v>289045.0</v>
      </c>
    </row>
    <row r="715">
      <c r="A715" s="1">
        <v>713.0</v>
      </c>
      <c r="B715" s="1" t="s">
        <v>581</v>
      </c>
      <c r="C715" s="1" t="s">
        <v>6</v>
      </c>
      <c r="D715" s="1">
        <v>1.0</v>
      </c>
      <c r="E715" s="1" t="s">
        <v>614</v>
      </c>
      <c r="F715" s="1">
        <v>7571032.0</v>
      </c>
    </row>
    <row r="716">
      <c r="A716" s="1">
        <v>714.0</v>
      </c>
      <c r="B716" s="1" t="s">
        <v>662</v>
      </c>
      <c r="C716" s="1" t="s">
        <v>6</v>
      </c>
      <c r="D716" s="1">
        <v>1.0</v>
      </c>
      <c r="E716" s="1" t="s">
        <v>614</v>
      </c>
      <c r="F716" s="1">
        <v>2141.0</v>
      </c>
    </row>
    <row r="717">
      <c r="A717" s="1">
        <v>715.0</v>
      </c>
      <c r="B717" s="1" t="s">
        <v>173</v>
      </c>
      <c r="C717" s="1" t="s">
        <v>6</v>
      </c>
      <c r="D717" s="1">
        <v>1.0</v>
      </c>
      <c r="E717" s="1" t="s">
        <v>614</v>
      </c>
      <c r="F717" s="1">
        <v>4444315.0</v>
      </c>
    </row>
    <row r="718">
      <c r="A718" s="1">
        <v>716.0</v>
      </c>
      <c r="B718" s="1" t="s">
        <v>173</v>
      </c>
      <c r="C718" s="1" t="s">
        <v>6</v>
      </c>
      <c r="D718" s="1">
        <v>1.0</v>
      </c>
      <c r="E718" s="1" t="s">
        <v>614</v>
      </c>
      <c r="F718" s="1">
        <v>1.0</v>
      </c>
    </row>
    <row r="719">
      <c r="A719" s="1">
        <v>717.0</v>
      </c>
      <c r="B719" s="1" t="s">
        <v>610</v>
      </c>
      <c r="C719" s="1" t="s">
        <v>6</v>
      </c>
      <c r="D719" s="1">
        <v>1.0</v>
      </c>
      <c r="E719" s="1" t="s">
        <v>614</v>
      </c>
      <c r="F719" s="1">
        <v>205049.0</v>
      </c>
    </row>
    <row r="720">
      <c r="A720" s="1">
        <v>718.0</v>
      </c>
      <c r="B720" s="1" t="s">
        <v>267</v>
      </c>
      <c r="C720" s="1" t="s">
        <v>6</v>
      </c>
      <c r="D720" s="1">
        <v>1.0</v>
      </c>
      <c r="E720" s="1" t="s">
        <v>614</v>
      </c>
      <c r="F720" s="1">
        <v>905000.0</v>
      </c>
    </row>
    <row r="721">
      <c r="A721" s="1">
        <v>719.0</v>
      </c>
      <c r="B721" s="1" t="s">
        <v>663</v>
      </c>
      <c r="C721" s="1" t="s">
        <v>6</v>
      </c>
      <c r="D721" s="1">
        <v>1.0</v>
      </c>
      <c r="E721" s="1" t="s">
        <v>614</v>
      </c>
      <c r="F721" s="1">
        <v>23.0</v>
      </c>
    </row>
    <row r="722">
      <c r="A722" s="1">
        <v>720.0</v>
      </c>
      <c r="B722" s="1" t="s">
        <v>664</v>
      </c>
      <c r="C722" s="1" t="s">
        <v>6</v>
      </c>
      <c r="D722" s="1">
        <v>1.0</v>
      </c>
      <c r="E722" s="1" t="s">
        <v>614</v>
      </c>
      <c r="F722" s="1">
        <v>870000.0</v>
      </c>
    </row>
    <row r="723">
      <c r="A723" s="1">
        <v>721.0</v>
      </c>
      <c r="B723" s="1" t="s">
        <v>665</v>
      </c>
      <c r="C723" s="1" t="s">
        <v>6</v>
      </c>
      <c r="D723" s="1">
        <v>1.0</v>
      </c>
      <c r="E723" s="1" t="s">
        <v>614</v>
      </c>
      <c r="F723" s="1">
        <v>64232.0</v>
      </c>
    </row>
    <row r="724">
      <c r="A724" s="1">
        <v>722.0</v>
      </c>
      <c r="B724" s="1" t="s">
        <v>666</v>
      </c>
      <c r="C724" s="1" t="s">
        <v>6</v>
      </c>
      <c r="D724" s="1">
        <v>1.0</v>
      </c>
      <c r="E724" s="1" t="s">
        <v>614</v>
      </c>
      <c r="F724" s="1">
        <v>1250000.0</v>
      </c>
    </row>
    <row r="725">
      <c r="A725" s="1">
        <v>723.0</v>
      </c>
      <c r="B725" s="1" t="s">
        <v>667</v>
      </c>
      <c r="C725" s="1" t="s">
        <v>6</v>
      </c>
      <c r="D725" s="1">
        <v>1.0</v>
      </c>
      <c r="E725" s="1" t="s">
        <v>614</v>
      </c>
      <c r="F725" s="1">
        <v>1176710.0</v>
      </c>
    </row>
    <row r="726">
      <c r="A726" s="1">
        <v>724.0</v>
      </c>
      <c r="B726" s="1" t="s">
        <v>246</v>
      </c>
      <c r="C726" s="1" t="s">
        <v>6</v>
      </c>
      <c r="D726" s="1">
        <v>1.0</v>
      </c>
      <c r="E726" s="1" t="s">
        <v>614</v>
      </c>
      <c r="F726" s="1">
        <v>2569287.0</v>
      </c>
    </row>
    <row r="727">
      <c r="A727" s="1">
        <v>725.0</v>
      </c>
      <c r="B727" s="1" t="s">
        <v>20</v>
      </c>
      <c r="C727" s="1" t="s">
        <v>6</v>
      </c>
      <c r="D727" s="1">
        <v>1.0</v>
      </c>
      <c r="E727" s="1" t="s">
        <v>614</v>
      </c>
      <c r="F727" s="1">
        <v>1404565.0</v>
      </c>
    </row>
    <row r="728">
      <c r="A728" s="1">
        <v>726.0</v>
      </c>
      <c r="B728" s="1" t="s">
        <v>668</v>
      </c>
      <c r="C728" s="1" t="s">
        <v>6</v>
      </c>
      <c r="D728" s="1">
        <v>1.0</v>
      </c>
      <c r="E728" s="1" t="s">
        <v>614</v>
      </c>
      <c r="F728" s="1">
        <v>787318.0</v>
      </c>
    </row>
    <row r="729">
      <c r="A729" s="1">
        <v>727.0</v>
      </c>
      <c r="B729" s="1" t="s">
        <v>669</v>
      </c>
      <c r="C729" s="1" t="s">
        <v>6</v>
      </c>
      <c r="D729" s="1">
        <v>1.0</v>
      </c>
      <c r="E729" s="1" t="s">
        <v>614</v>
      </c>
      <c r="F729" s="1">
        <v>713136.0</v>
      </c>
    </row>
    <row r="730">
      <c r="A730" s="1">
        <v>728.0</v>
      </c>
      <c r="B730" s="1" t="s">
        <v>669</v>
      </c>
      <c r="C730" s="1" t="s">
        <v>6</v>
      </c>
      <c r="D730" s="1">
        <v>1.0</v>
      </c>
      <c r="E730" s="1" t="s">
        <v>614</v>
      </c>
      <c r="F730" s="1">
        <v>467428.0</v>
      </c>
    </row>
    <row r="731">
      <c r="A731" s="1">
        <v>729.0</v>
      </c>
      <c r="B731" s="1" t="s">
        <v>670</v>
      </c>
      <c r="C731" s="1" t="s">
        <v>6</v>
      </c>
      <c r="D731" s="1">
        <v>1.0</v>
      </c>
      <c r="E731" s="1" t="s">
        <v>614</v>
      </c>
      <c r="F731" s="1">
        <v>983196.0</v>
      </c>
    </row>
    <row r="732">
      <c r="A732" s="1">
        <v>730.0</v>
      </c>
      <c r="B732" s="1" t="s">
        <v>206</v>
      </c>
      <c r="C732" s="1" t="s">
        <v>6</v>
      </c>
      <c r="D732" s="1">
        <v>1.0</v>
      </c>
      <c r="E732" s="1" t="s">
        <v>614</v>
      </c>
      <c r="F732" s="1">
        <v>1507820.0</v>
      </c>
    </row>
    <row r="733">
      <c r="A733" s="1">
        <v>731.0</v>
      </c>
      <c r="B733" s="1" t="s">
        <v>671</v>
      </c>
      <c r="C733" s="1" t="s">
        <v>6</v>
      </c>
      <c r="D733" s="1">
        <v>1.0</v>
      </c>
      <c r="E733" s="1" t="s">
        <v>614</v>
      </c>
      <c r="F733" s="1">
        <v>17.0</v>
      </c>
    </row>
    <row r="734">
      <c r="A734" s="1">
        <v>732.0</v>
      </c>
      <c r="B734" s="1" t="s">
        <v>311</v>
      </c>
      <c r="C734" s="1" t="s">
        <v>6</v>
      </c>
      <c r="D734" s="1">
        <v>1.0</v>
      </c>
      <c r="E734" s="1" t="s">
        <v>614</v>
      </c>
      <c r="F734" s="1">
        <v>5398754.0</v>
      </c>
    </row>
    <row r="735">
      <c r="A735" s="1">
        <v>733.0</v>
      </c>
      <c r="B735" s="1" t="s">
        <v>672</v>
      </c>
      <c r="C735" s="1" t="s">
        <v>6</v>
      </c>
      <c r="D735" s="1">
        <v>1.0</v>
      </c>
      <c r="E735" s="1" t="s">
        <v>614</v>
      </c>
      <c r="F735" s="1">
        <v>2411749.0</v>
      </c>
    </row>
    <row r="736">
      <c r="A736" s="1">
        <v>734.0</v>
      </c>
      <c r="B736" s="1" t="s">
        <v>673</v>
      </c>
      <c r="C736" s="1" t="s">
        <v>6</v>
      </c>
      <c r="D736" s="1">
        <v>1.0</v>
      </c>
      <c r="E736" s="1" t="s">
        <v>614</v>
      </c>
      <c r="F736" s="1">
        <v>2550000.0</v>
      </c>
    </row>
    <row r="737">
      <c r="A737" s="1">
        <v>735.0</v>
      </c>
      <c r="B737" s="1" t="s">
        <v>674</v>
      </c>
      <c r="C737" s="1" t="s">
        <v>6</v>
      </c>
      <c r="D737" s="1">
        <v>1.0</v>
      </c>
      <c r="E737" s="1" t="s">
        <v>614</v>
      </c>
      <c r="F737" s="1">
        <v>449896.0</v>
      </c>
    </row>
    <row r="738">
      <c r="A738" s="1">
        <v>736.0</v>
      </c>
      <c r="B738" s="1" t="s">
        <v>675</v>
      </c>
      <c r="C738" s="1" t="s">
        <v>6</v>
      </c>
      <c r="D738" s="1">
        <v>1.0</v>
      </c>
      <c r="E738" s="1" t="s">
        <v>614</v>
      </c>
      <c r="F738" s="1">
        <v>2249481.0</v>
      </c>
    </row>
    <row r="739">
      <c r="A739" s="1">
        <v>737.0</v>
      </c>
      <c r="B739" s="1" t="s">
        <v>676</v>
      </c>
      <c r="C739" s="1" t="s">
        <v>6</v>
      </c>
      <c r="D739" s="1">
        <v>1.0</v>
      </c>
      <c r="E739" s="1" t="s">
        <v>614</v>
      </c>
      <c r="F739" s="1">
        <v>1649524.0</v>
      </c>
    </row>
    <row r="740">
      <c r="A740" s="1">
        <v>738.0</v>
      </c>
      <c r="B740" s="1" t="s">
        <v>677</v>
      </c>
      <c r="C740" s="1" t="s">
        <v>6</v>
      </c>
      <c r="D740" s="1">
        <v>1.0</v>
      </c>
      <c r="E740" s="1" t="s">
        <v>614</v>
      </c>
      <c r="F740" s="1">
        <v>27235.0</v>
      </c>
    </row>
    <row r="741">
      <c r="A741" s="1">
        <v>739.0</v>
      </c>
      <c r="B741" s="1" t="s">
        <v>678</v>
      </c>
      <c r="C741" s="1" t="s">
        <v>6</v>
      </c>
      <c r="D741" s="1">
        <v>1.0</v>
      </c>
      <c r="E741" s="1" t="s">
        <v>614</v>
      </c>
      <c r="F741" s="1">
        <v>755000.0</v>
      </c>
    </row>
    <row r="742">
      <c r="A742" s="1">
        <v>740.0</v>
      </c>
      <c r="B742" s="1" t="s">
        <v>553</v>
      </c>
      <c r="C742" s="1" t="s">
        <v>6</v>
      </c>
      <c r="D742" s="1">
        <v>1.0</v>
      </c>
      <c r="E742" s="1" t="s">
        <v>614</v>
      </c>
      <c r="F742" s="1">
        <v>1070000.0</v>
      </c>
    </row>
    <row r="743">
      <c r="A743" s="1">
        <v>741.0</v>
      </c>
      <c r="B743" s="1" t="s">
        <v>679</v>
      </c>
      <c r="C743" s="1" t="s">
        <v>6</v>
      </c>
      <c r="D743" s="1">
        <v>1.0</v>
      </c>
      <c r="E743" s="1" t="s">
        <v>614</v>
      </c>
      <c r="F743" s="1">
        <v>67404.0</v>
      </c>
    </row>
    <row r="744">
      <c r="A744" s="1">
        <v>742.0</v>
      </c>
      <c r="B744" s="1" t="s">
        <v>680</v>
      </c>
      <c r="C744" s="1" t="s">
        <v>6</v>
      </c>
      <c r="D744" s="1">
        <v>1.0</v>
      </c>
      <c r="E744" s="1" t="s">
        <v>614</v>
      </c>
      <c r="F744" s="1">
        <v>542139.0</v>
      </c>
    </row>
    <row r="745">
      <c r="A745" s="1">
        <v>743.0</v>
      </c>
      <c r="B745" s="1" t="s">
        <v>632</v>
      </c>
      <c r="C745" s="1" t="s">
        <v>6</v>
      </c>
      <c r="D745" s="1">
        <v>1.0</v>
      </c>
      <c r="E745" s="1" t="s">
        <v>614</v>
      </c>
      <c r="F745" s="1">
        <v>934857.0</v>
      </c>
    </row>
    <row r="746">
      <c r="A746" s="1">
        <v>744.0</v>
      </c>
      <c r="B746" s="1" t="s">
        <v>681</v>
      </c>
      <c r="C746" s="1" t="s">
        <v>6</v>
      </c>
      <c r="D746" s="1">
        <v>1.0</v>
      </c>
      <c r="E746" s="1" t="s">
        <v>614</v>
      </c>
      <c r="F746" s="1">
        <v>1104109.0</v>
      </c>
    </row>
    <row r="747">
      <c r="A747" s="1">
        <v>745.0</v>
      </c>
      <c r="B747" s="1" t="s">
        <v>682</v>
      </c>
      <c r="C747" s="1" t="s">
        <v>6</v>
      </c>
      <c r="D747" s="1">
        <v>1.0</v>
      </c>
      <c r="E747" s="1" t="s">
        <v>614</v>
      </c>
      <c r="F747" s="1">
        <v>5184922.0</v>
      </c>
    </row>
    <row r="748">
      <c r="A748" s="1">
        <v>746.0</v>
      </c>
      <c r="B748" s="1" t="s">
        <v>643</v>
      </c>
      <c r="C748" s="1" t="s">
        <v>6</v>
      </c>
      <c r="D748" s="1">
        <v>1.0</v>
      </c>
      <c r="E748" s="1" t="s">
        <v>614</v>
      </c>
      <c r="F748" s="1">
        <v>19177.0</v>
      </c>
    </row>
    <row r="749">
      <c r="A749" s="1">
        <v>747.0</v>
      </c>
      <c r="B749" s="1" t="s">
        <v>615</v>
      </c>
      <c r="C749" s="1" t="s">
        <v>6</v>
      </c>
      <c r="D749" s="1">
        <v>1.0</v>
      </c>
      <c r="E749" s="1" t="s">
        <v>614</v>
      </c>
      <c r="F749" s="1">
        <v>30534.0</v>
      </c>
    </row>
    <row r="750">
      <c r="A750" s="1">
        <v>748.0</v>
      </c>
      <c r="B750" s="1" t="s">
        <v>683</v>
      </c>
      <c r="C750" s="1" t="s">
        <v>6</v>
      </c>
      <c r="D750" s="1">
        <v>1.0</v>
      </c>
      <c r="E750" s="1" t="s">
        <v>614</v>
      </c>
      <c r="F750" s="1">
        <v>2248126.0</v>
      </c>
    </row>
    <row r="751">
      <c r="A751" s="1">
        <v>749.0</v>
      </c>
      <c r="B751" s="1" t="s">
        <v>684</v>
      </c>
      <c r="C751" s="1" t="s">
        <v>6</v>
      </c>
      <c r="D751" s="1">
        <v>1.0</v>
      </c>
      <c r="E751" s="1" t="s">
        <v>614</v>
      </c>
      <c r="F751" s="1">
        <v>1312312.0</v>
      </c>
    </row>
    <row r="752">
      <c r="A752" s="1">
        <v>750.0</v>
      </c>
      <c r="B752" s="1" t="s">
        <v>685</v>
      </c>
      <c r="C752" s="1" t="s">
        <v>6</v>
      </c>
      <c r="D752" s="1">
        <v>1.0</v>
      </c>
      <c r="E752" s="1" t="s">
        <v>614</v>
      </c>
      <c r="F752" s="1">
        <v>498618.0</v>
      </c>
    </row>
    <row r="753">
      <c r="A753" s="1">
        <v>751.0</v>
      </c>
      <c r="B753" s="1" t="s">
        <v>686</v>
      </c>
      <c r="C753" s="1" t="s">
        <v>6</v>
      </c>
      <c r="D753" s="1">
        <v>1.0</v>
      </c>
      <c r="E753" s="1" t="s">
        <v>614</v>
      </c>
      <c r="F753" s="1">
        <v>12000.0</v>
      </c>
    </row>
    <row r="754">
      <c r="A754" s="1">
        <v>752.0</v>
      </c>
      <c r="B754" s="1" t="s">
        <v>687</v>
      </c>
      <c r="C754" s="1" t="s">
        <v>6</v>
      </c>
      <c r="D754" s="1">
        <v>1.0</v>
      </c>
      <c r="E754" s="1" t="s">
        <v>614</v>
      </c>
      <c r="F754" s="1">
        <v>668980.0</v>
      </c>
    </row>
    <row r="755">
      <c r="A755" s="1">
        <v>753.0</v>
      </c>
      <c r="B755" s="1" t="s">
        <v>688</v>
      </c>
      <c r="C755" s="1" t="s">
        <v>6</v>
      </c>
      <c r="D755" s="1">
        <v>1.0</v>
      </c>
      <c r="E755" s="1" t="s">
        <v>614</v>
      </c>
      <c r="F755" s="1">
        <v>11036.0</v>
      </c>
    </row>
    <row r="756">
      <c r="A756" s="1">
        <v>754.0</v>
      </c>
      <c r="B756" s="1" t="s">
        <v>689</v>
      </c>
      <c r="C756" s="1" t="s">
        <v>6</v>
      </c>
      <c r="D756" s="1">
        <v>1.0</v>
      </c>
      <c r="E756" s="1" t="s">
        <v>614</v>
      </c>
      <c r="F756" s="1">
        <v>1267472.0</v>
      </c>
    </row>
    <row r="757">
      <c r="A757" s="1">
        <v>755.0</v>
      </c>
      <c r="B757" s="1" t="s">
        <v>690</v>
      </c>
      <c r="C757" s="1" t="s">
        <v>6</v>
      </c>
      <c r="D757" s="1">
        <v>1.0</v>
      </c>
      <c r="E757" s="1" t="s">
        <v>614</v>
      </c>
      <c r="F757" s="1">
        <v>461.0</v>
      </c>
    </row>
    <row r="758">
      <c r="A758" s="1">
        <v>756.0</v>
      </c>
      <c r="B758" s="1" t="s">
        <v>691</v>
      </c>
      <c r="C758" s="1" t="s">
        <v>6</v>
      </c>
      <c r="D758" s="1">
        <v>1.0</v>
      </c>
      <c r="E758" s="1" t="s">
        <v>614</v>
      </c>
      <c r="F758" s="1">
        <v>517.0</v>
      </c>
    </row>
    <row r="759">
      <c r="A759" s="1">
        <v>757.0</v>
      </c>
      <c r="B759" s="1" t="s">
        <v>692</v>
      </c>
      <c r="C759" s="1" t="s">
        <v>6</v>
      </c>
      <c r="D759" s="1">
        <v>1.0</v>
      </c>
      <c r="E759" s="1" t="s">
        <v>614</v>
      </c>
      <c r="F759" s="1">
        <v>38000.0</v>
      </c>
    </row>
    <row r="760">
      <c r="A760" s="1">
        <v>758.0</v>
      </c>
      <c r="B760" s="1" t="s">
        <v>693</v>
      </c>
      <c r="C760" s="1" t="s">
        <v>6</v>
      </c>
      <c r="D760" s="1">
        <v>1.0</v>
      </c>
      <c r="E760" s="1" t="s">
        <v>614</v>
      </c>
      <c r="F760" s="1">
        <v>1541229.0</v>
      </c>
    </row>
    <row r="761">
      <c r="A761" s="1">
        <v>759.0</v>
      </c>
      <c r="B761" s="1" t="s">
        <v>694</v>
      </c>
      <c r="C761" s="1" t="s">
        <v>6</v>
      </c>
      <c r="D761" s="1">
        <v>1.0</v>
      </c>
      <c r="E761" s="1" t="s">
        <v>614</v>
      </c>
      <c r="F761" s="1">
        <v>725889.0</v>
      </c>
    </row>
    <row r="762">
      <c r="A762" s="1">
        <v>760.0</v>
      </c>
      <c r="B762" s="1" t="s">
        <v>695</v>
      </c>
      <c r="C762" s="1" t="s">
        <v>6</v>
      </c>
      <c r="D762" s="1">
        <v>1.0</v>
      </c>
      <c r="E762" s="1" t="s">
        <v>614</v>
      </c>
      <c r="F762" s="1">
        <v>3211608.0</v>
      </c>
    </row>
    <row r="763">
      <c r="A763" s="1">
        <v>761.0</v>
      </c>
      <c r="B763" s="1" t="s">
        <v>696</v>
      </c>
      <c r="C763" s="1" t="s">
        <v>6</v>
      </c>
      <c r="D763" s="1">
        <v>1.0</v>
      </c>
      <c r="E763" s="1" t="s">
        <v>614</v>
      </c>
      <c r="F763" s="1">
        <v>513743.0</v>
      </c>
    </row>
    <row r="764">
      <c r="A764" s="1">
        <v>762.0</v>
      </c>
      <c r="B764" s="5" t="s">
        <v>697</v>
      </c>
      <c r="C764" s="1" t="s">
        <v>6</v>
      </c>
      <c r="D764" s="1">
        <v>1.0</v>
      </c>
      <c r="E764" s="1" t="s">
        <v>614</v>
      </c>
      <c r="F764" s="1">
        <v>80495.0</v>
      </c>
    </row>
    <row r="765">
      <c r="A765" s="1">
        <v>763.0</v>
      </c>
      <c r="B765" s="1" t="s">
        <v>698</v>
      </c>
      <c r="C765" s="1" t="s">
        <v>6</v>
      </c>
      <c r="D765" s="1">
        <v>1.0</v>
      </c>
      <c r="E765" s="1" t="s">
        <v>614</v>
      </c>
      <c r="F765" s="1">
        <v>541685.0</v>
      </c>
    </row>
    <row r="766">
      <c r="A766" s="1">
        <v>764.0</v>
      </c>
      <c r="B766" s="5" t="s">
        <v>699</v>
      </c>
      <c r="C766" s="1" t="s">
        <v>6</v>
      </c>
      <c r="D766" s="1">
        <v>1.0</v>
      </c>
      <c r="E766" s="1" t="s">
        <v>614</v>
      </c>
      <c r="F766" s="1">
        <v>566.0</v>
      </c>
    </row>
    <row r="767">
      <c r="A767" s="1">
        <v>765.0</v>
      </c>
      <c r="B767" s="1" t="s">
        <v>700</v>
      </c>
      <c r="C767" s="1" t="s">
        <v>6</v>
      </c>
      <c r="D767" s="1">
        <v>1.0</v>
      </c>
      <c r="E767" s="1" t="s">
        <v>614</v>
      </c>
      <c r="F767" s="1">
        <v>68088.0</v>
      </c>
    </row>
    <row r="768">
      <c r="A768" s="1">
        <v>766.0</v>
      </c>
      <c r="B768" s="1" t="s">
        <v>701</v>
      </c>
      <c r="C768" s="1" t="s">
        <v>6</v>
      </c>
      <c r="D768" s="1">
        <v>1.0</v>
      </c>
      <c r="E768" s="1" t="s">
        <v>614</v>
      </c>
      <c r="F768" s="1">
        <v>307.0</v>
      </c>
    </row>
    <row r="769">
      <c r="A769" s="1">
        <v>767.0</v>
      </c>
      <c r="B769" s="1" t="s">
        <v>701</v>
      </c>
      <c r="C769" s="1" t="s">
        <v>6</v>
      </c>
      <c r="D769" s="1">
        <v>1.0</v>
      </c>
      <c r="E769" s="1" t="s">
        <v>614</v>
      </c>
      <c r="F769" s="1">
        <v>10387.0</v>
      </c>
    </row>
    <row r="770">
      <c r="A770" s="1">
        <v>768.0</v>
      </c>
      <c r="B770" s="1" t="s">
        <v>424</v>
      </c>
      <c r="C770" s="1" t="s">
        <v>6</v>
      </c>
      <c r="D770" s="1">
        <v>1.0</v>
      </c>
      <c r="E770" s="1" t="s">
        <v>614</v>
      </c>
      <c r="F770" s="1">
        <v>23.0</v>
      </c>
    </row>
    <row r="771">
      <c r="A771" s="1">
        <v>769.0</v>
      </c>
      <c r="B771" s="5" t="s">
        <v>702</v>
      </c>
      <c r="C771" s="1" t="s">
        <v>6</v>
      </c>
      <c r="D771" s="1">
        <v>1.0</v>
      </c>
      <c r="E771" s="1" t="s">
        <v>614</v>
      </c>
      <c r="F771" s="1">
        <v>144479.0</v>
      </c>
    </row>
    <row r="772">
      <c r="A772" s="1">
        <v>770.0</v>
      </c>
      <c r="B772" s="1" t="s">
        <v>703</v>
      </c>
      <c r="C772" s="1" t="s">
        <v>6</v>
      </c>
      <c r="D772" s="1">
        <v>1.0</v>
      </c>
      <c r="E772" s="1" t="s">
        <v>614</v>
      </c>
      <c r="F772" s="1">
        <v>247678.0</v>
      </c>
    </row>
    <row r="773">
      <c r="A773" s="1">
        <v>771.0</v>
      </c>
      <c r="B773" s="1" t="s">
        <v>704</v>
      </c>
      <c r="C773" s="1" t="s">
        <v>6</v>
      </c>
      <c r="D773" s="1">
        <v>1.0</v>
      </c>
      <c r="E773" s="1" t="s">
        <v>614</v>
      </c>
      <c r="F773" s="1">
        <v>5016304.0</v>
      </c>
    </row>
    <row r="774">
      <c r="A774" s="1">
        <v>772.0</v>
      </c>
      <c r="B774" s="1" t="s">
        <v>705</v>
      </c>
      <c r="C774" s="1" t="s">
        <v>6</v>
      </c>
      <c r="D774" s="1">
        <v>1.0</v>
      </c>
      <c r="E774" s="1" t="s">
        <v>614</v>
      </c>
      <c r="F774" s="1">
        <v>19505.0</v>
      </c>
    </row>
    <row r="775">
      <c r="A775" s="1">
        <v>773.0</v>
      </c>
      <c r="B775" s="1" t="s">
        <v>706</v>
      </c>
      <c r="C775" s="1" t="s">
        <v>6</v>
      </c>
      <c r="D775" s="1">
        <v>1.0</v>
      </c>
      <c r="E775" s="1" t="s">
        <v>614</v>
      </c>
      <c r="F775" s="1">
        <v>73.0</v>
      </c>
    </row>
    <row r="776">
      <c r="A776" s="1">
        <v>774.0</v>
      </c>
      <c r="B776" s="1" t="s">
        <v>707</v>
      </c>
      <c r="C776" s="1" t="s">
        <v>6</v>
      </c>
      <c r="D776" s="1">
        <v>1.0</v>
      </c>
      <c r="E776" s="1" t="s">
        <v>614</v>
      </c>
      <c r="F776" s="1">
        <v>3008206.0</v>
      </c>
    </row>
    <row r="777">
      <c r="A777" s="1">
        <v>775.0</v>
      </c>
      <c r="B777" s="1" t="s">
        <v>708</v>
      </c>
      <c r="C777" s="1" t="s">
        <v>6</v>
      </c>
      <c r="D777" s="1">
        <v>1.0</v>
      </c>
      <c r="E777" s="1" t="s">
        <v>614</v>
      </c>
      <c r="F777" s="1">
        <v>148.0</v>
      </c>
    </row>
    <row r="778">
      <c r="A778" s="1">
        <v>776.0</v>
      </c>
      <c r="B778" s="1" t="s">
        <v>709</v>
      </c>
      <c r="C778" s="1" t="s">
        <v>6</v>
      </c>
      <c r="D778" s="1">
        <v>1.0</v>
      </c>
      <c r="E778" s="1" t="s">
        <v>614</v>
      </c>
      <c r="F778" s="1">
        <v>10770.0</v>
      </c>
    </row>
    <row r="779">
      <c r="A779" s="1">
        <v>777.0</v>
      </c>
      <c r="B779" s="1" t="s">
        <v>710</v>
      </c>
      <c r="C779" s="1" t="s">
        <v>6</v>
      </c>
      <c r="D779" s="1">
        <v>1.0</v>
      </c>
      <c r="E779" s="1" t="s">
        <v>614</v>
      </c>
      <c r="F779" s="1">
        <v>412713.0</v>
      </c>
    </row>
    <row r="780">
      <c r="A780" s="1">
        <v>778.0</v>
      </c>
      <c r="B780" s="1" t="s">
        <v>711</v>
      </c>
      <c r="C780" s="1" t="s">
        <v>6</v>
      </c>
      <c r="D780" s="1">
        <v>1.0</v>
      </c>
      <c r="E780" s="1" t="s">
        <v>614</v>
      </c>
      <c r="F780" s="1">
        <v>46.0</v>
      </c>
    </row>
    <row r="781">
      <c r="A781" s="1">
        <v>779.0</v>
      </c>
      <c r="B781" s="1" t="s">
        <v>712</v>
      </c>
      <c r="C781" s="1" t="s">
        <v>6</v>
      </c>
      <c r="D781" s="1">
        <v>1.0</v>
      </c>
      <c r="E781" s="1" t="s">
        <v>614</v>
      </c>
      <c r="F781" s="1">
        <v>849156.0</v>
      </c>
    </row>
    <row r="782">
      <c r="A782" s="1">
        <v>780.0</v>
      </c>
      <c r="B782" s="1" t="s">
        <v>713</v>
      </c>
      <c r="C782" s="1" t="s">
        <v>6</v>
      </c>
      <c r="D782" s="1">
        <v>1.0</v>
      </c>
      <c r="E782" s="1" t="s">
        <v>614</v>
      </c>
      <c r="F782" s="1">
        <v>641549.0</v>
      </c>
    </row>
    <row r="783">
      <c r="A783" s="1">
        <v>781.0</v>
      </c>
      <c r="B783" s="1" t="s">
        <v>714</v>
      </c>
      <c r="C783" s="1" t="s">
        <v>6</v>
      </c>
      <c r="D783" s="1">
        <v>1.0</v>
      </c>
      <c r="E783" s="1" t="s">
        <v>614</v>
      </c>
      <c r="F783" s="1">
        <v>25925.0</v>
      </c>
    </row>
    <row r="784">
      <c r="A784" s="1">
        <v>782.0</v>
      </c>
      <c r="B784" s="1" t="s">
        <v>715</v>
      </c>
      <c r="C784" s="1" t="s">
        <v>6</v>
      </c>
      <c r="D784" s="1">
        <v>1.0</v>
      </c>
      <c r="E784" s="1" t="s">
        <v>614</v>
      </c>
      <c r="F784" s="1">
        <v>1567329.0</v>
      </c>
    </row>
    <row r="785">
      <c r="A785" s="1">
        <v>783.0</v>
      </c>
      <c r="B785" s="1" t="s">
        <v>716</v>
      </c>
      <c r="C785" s="1" t="s">
        <v>6</v>
      </c>
      <c r="D785" s="1">
        <v>1.0</v>
      </c>
      <c r="E785" s="1" t="s">
        <v>614</v>
      </c>
      <c r="F785" s="1">
        <v>681546.0</v>
      </c>
    </row>
    <row r="786">
      <c r="A786" s="1">
        <v>784.0</v>
      </c>
      <c r="B786" s="1" t="s">
        <v>717</v>
      </c>
      <c r="C786" s="1" t="s">
        <v>6</v>
      </c>
      <c r="D786" s="1">
        <v>1.0</v>
      </c>
      <c r="E786" s="1" t="s">
        <v>614</v>
      </c>
      <c r="F786" s="1">
        <v>877015.0</v>
      </c>
    </row>
    <row r="787">
      <c r="A787" s="1">
        <v>785.0</v>
      </c>
      <c r="B787" s="1" t="s">
        <v>718</v>
      </c>
      <c r="C787" s="1" t="s">
        <v>6</v>
      </c>
      <c r="D787" s="1">
        <v>1.0</v>
      </c>
      <c r="E787" s="1" t="s">
        <v>614</v>
      </c>
      <c r="F787" s="1">
        <v>1722605.0</v>
      </c>
    </row>
    <row r="788">
      <c r="A788" s="1">
        <v>786.0</v>
      </c>
      <c r="B788" s="1" t="s">
        <v>719</v>
      </c>
      <c r="C788" s="1" t="s">
        <v>6</v>
      </c>
      <c r="D788" s="1">
        <v>1.0</v>
      </c>
      <c r="E788" s="1" t="s">
        <v>614</v>
      </c>
      <c r="F788" s="1">
        <v>888545.0</v>
      </c>
    </row>
    <row r="789">
      <c r="A789" s="1">
        <v>787.0</v>
      </c>
      <c r="B789" s="1" t="s">
        <v>720</v>
      </c>
      <c r="C789" s="1" t="s">
        <v>6</v>
      </c>
      <c r="D789" s="1">
        <v>1.0</v>
      </c>
      <c r="E789" s="1" t="s">
        <v>614</v>
      </c>
      <c r="F789" s="1">
        <v>33742.0</v>
      </c>
    </row>
    <row r="790">
      <c r="A790" s="1">
        <v>788.0</v>
      </c>
      <c r="B790" s="1" t="s">
        <v>721</v>
      </c>
      <c r="C790" s="1" t="s">
        <v>6</v>
      </c>
      <c r="D790" s="1">
        <v>1.0</v>
      </c>
      <c r="E790" s="1" t="s">
        <v>614</v>
      </c>
      <c r="F790" s="1">
        <v>595000.0</v>
      </c>
    </row>
    <row r="791">
      <c r="A791" s="1">
        <v>789.0</v>
      </c>
      <c r="B791" s="1" t="s">
        <v>722</v>
      </c>
      <c r="C791" s="1" t="s">
        <v>6</v>
      </c>
      <c r="D791" s="1">
        <v>1.0</v>
      </c>
      <c r="E791" s="1" t="s">
        <v>614</v>
      </c>
      <c r="F791" s="1">
        <v>610000.0</v>
      </c>
    </row>
    <row r="792">
      <c r="A792" s="1">
        <v>790.0</v>
      </c>
      <c r="B792" s="1" t="s">
        <v>723</v>
      </c>
      <c r="C792" s="1" t="s">
        <v>6</v>
      </c>
      <c r="D792" s="1">
        <v>1.0</v>
      </c>
      <c r="E792" s="1" t="s">
        <v>614</v>
      </c>
      <c r="F792" s="1">
        <v>4466071.0</v>
      </c>
    </row>
    <row r="793">
      <c r="A793" s="1">
        <v>791.0</v>
      </c>
      <c r="B793" s="1" t="s">
        <v>724</v>
      </c>
      <c r="C793" s="1" t="s">
        <v>6</v>
      </c>
      <c r="D793" s="1">
        <v>1.0</v>
      </c>
      <c r="E793" s="1" t="s">
        <v>614</v>
      </c>
      <c r="F793" s="1">
        <v>107054.0</v>
      </c>
    </row>
    <row r="794">
      <c r="A794" s="1">
        <v>792.0</v>
      </c>
      <c r="B794" s="1" t="s">
        <v>725</v>
      </c>
      <c r="C794" s="1" t="s">
        <v>6</v>
      </c>
      <c r="D794" s="1">
        <v>1.0</v>
      </c>
      <c r="E794" s="1" t="s">
        <v>614</v>
      </c>
      <c r="F794" s="1">
        <v>396166.0</v>
      </c>
    </row>
    <row r="795">
      <c r="A795" s="1">
        <v>793.0</v>
      </c>
      <c r="B795" s="1" t="s">
        <v>726</v>
      </c>
      <c r="C795" s="1" t="s">
        <v>6</v>
      </c>
      <c r="D795" s="1">
        <v>1.0</v>
      </c>
      <c r="E795" s="1" t="s">
        <v>614</v>
      </c>
      <c r="F795" s="1">
        <v>80007.0</v>
      </c>
    </row>
    <row r="796">
      <c r="A796" s="1">
        <v>794.0</v>
      </c>
      <c r="B796" s="1" t="s">
        <v>727</v>
      </c>
      <c r="C796" s="1" t="s">
        <v>6</v>
      </c>
      <c r="D796" s="1">
        <v>1.0</v>
      </c>
      <c r="E796" s="1" t="s">
        <v>614</v>
      </c>
      <c r="F796" s="1">
        <v>120000.0</v>
      </c>
    </row>
    <row r="797">
      <c r="A797" s="1">
        <v>795.0</v>
      </c>
      <c r="B797" s="1" t="s">
        <v>728</v>
      </c>
      <c r="C797" s="1" t="s">
        <v>6</v>
      </c>
      <c r="D797" s="1">
        <v>1.0</v>
      </c>
      <c r="E797" s="1" t="s">
        <v>614</v>
      </c>
      <c r="F797" s="1">
        <v>61907.0</v>
      </c>
    </row>
    <row r="798">
      <c r="A798" s="1">
        <v>796.0</v>
      </c>
      <c r="B798" s="1" t="s">
        <v>729</v>
      </c>
      <c r="C798" s="1" t="s">
        <v>6</v>
      </c>
      <c r="D798" s="1">
        <v>1.0</v>
      </c>
      <c r="E798" s="1" t="s">
        <v>614</v>
      </c>
      <c r="F798" s="1">
        <v>506133.0</v>
      </c>
    </row>
    <row r="799">
      <c r="A799" s="1">
        <v>797.0</v>
      </c>
      <c r="B799" s="1" t="s">
        <v>730</v>
      </c>
      <c r="C799" s="1" t="s">
        <v>6</v>
      </c>
      <c r="D799" s="1">
        <v>1.0</v>
      </c>
      <c r="E799" s="1" t="s">
        <v>614</v>
      </c>
      <c r="F799" s="1">
        <v>841226.0</v>
      </c>
    </row>
    <row r="800">
      <c r="A800" s="1">
        <v>798.0</v>
      </c>
      <c r="B800" s="1" t="s">
        <v>731</v>
      </c>
      <c r="C800" s="1" t="s">
        <v>6</v>
      </c>
      <c r="D800" s="1">
        <v>1.0</v>
      </c>
      <c r="E800" s="1" t="s">
        <v>614</v>
      </c>
      <c r="F800" s="1">
        <v>517.0</v>
      </c>
    </row>
    <row r="801">
      <c r="A801" s="1">
        <v>799.0</v>
      </c>
      <c r="B801" s="1" t="s">
        <v>732</v>
      </c>
      <c r="C801" s="1" t="s">
        <v>6</v>
      </c>
      <c r="D801" s="1">
        <v>1.0</v>
      </c>
      <c r="E801" s="1" t="s">
        <v>614</v>
      </c>
      <c r="F801" s="1">
        <v>553419.0</v>
      </c>
    </row>
    <row r="802">
      <c r="A802" s="1">
        <v>800.0</v>
      </c>
      <c r="B802" s="1" t="s">
        <v>733</v>
      </c>
      <c r="C802" s="1" t="s">
        <v>6</v>
      </c>
      <c r="D802" s="1">
        <v>1.0</v>
      </c>
      <c r="E802" s="1" t="s">
        <v>614</v>
      </c>
      <c r="F802" s="1">
        <v>8000.0</v>
      </c>
    </row>
    <row r="803">
      <c r="A803" s="1">
        <v>801.0</v>
      </c>
      <c r="B803" s="1" t="s">
        <v>734</v>
      </c>
      <c r="C803" s="1" t="s">
        <v>6</v>
      </c>
      <c r="D803" s="1">
        <v>1.0</v>
      </c>
      <c r="E803" s="1" t="s">
        <v>614</v>
      </c>
      <c r="F803" s="1">
        <v>652120.0</v>
      </c>
    </row>
    <row r="804">
      <c r="A804" s="1">
        <v>802.0</v>
      </c>
      <c r="B804" s="1" t="s">
        <v>735</v>
      </c>
      <c r="C804" s="1" t="s">
        <v>6</v>
      </c>
      <c r="D804" s="1">
        <v>1.0</v>
      </c>
      <c r="E804" s="1" t="s">
        <v>614</v>
      </c>
      <c r="F804" s="1">
        <v>637739.0</v>
      </c>
    </row>
    <row r="805">
      <c r="A805" s="1">
        <v>803.0</v>
      </c>
      <c r="B805" s="1" t="s">
        <v>736</v>
      </c>
      <c r="C805" s="1" t="s">
        <v>6</v>
      </c>
      <c r="D805" s="1">
        <v>1.0</v>
      </c>
      <c r="E805" s="1" t="s">
        <v>614</v>
      </c>
      <c r="F805" s="1">
        <v>361124.0</v>
      </c>
    </row>
    <row r="806">
      <c r="A806" s="1">
        <v>804.0</v>
      </c>
      <c r="B806" s="1" t="s">
        <v>737</v>
      </c>
      <c r="C806" s="1" t="s">
        <v>6</v>
      </c>
      <c r="D806" s="1">
        <v>1.0</v>
      </c>
      <c r="E806" s="1" t="s">
        <v>614</v>
      </c>
      <c r="F806" s="1">
        <v>31.0</v>
      </c>
    </row>
    <row r="807">
      <c r="A807" s="1">
        <v>805.0</v>
      </c>
      <c r="B807" s="1" t="s">
        <v>738</v>
      </c>
      <c r="C807" s="1" t="s">
        <v>6</v>
      </c>
      <c r="D807" s="1">
        <v>1.0</v>
      </c>
      <c r="E807" s="1" t="s">
        <v>614</v>
      </c>
      <c r="F807" s="1">
        <v>606034.0</v>
      </c>
    </row>
    <row r="808">
      <c r="A808" s="1">
        <v>806.0</v>
      </c>
      <c r="B808" s="1" t="s">
        <v>739</v>
      </c>
      <c r="C808" s="1" t="s">
        <v>6</v>
      </c>
      <c r="D808" s="1">
        <v>1.0</v>
      </c>
      <c r="E808" s="1" t="s">
        <v>614</v>
      </c>
      <c r="F808" s="1">
        <v>2052566.0</v>
      </c>
    </row>
    <row r="809">
      <c r="A809" s="1">
        <v>807.0</v>
      </c>
      <c r="B809" s="1" t="s">
        <v>740</v>
      </c>
      <c r="C809" s="1" t="s">
        <v>6</v>
      </c>
      <c r="D809" s="1">
        <v>1.0</v>
      </c>
      <c r="E809" s="1" t="s">
        <v>614</v>
      </c>
      <c r="F809" s="1">
        <v>23.0</v>
      </c>
    </row>
    <row r="810">
      <c r="A810" s="1">
        <v>808.0</v>
      </c>
      <c r="B810" s="1" t="s">
        <v>741</v>
      </c>
      <c r="C810" s="1" t="s">
        <v>6</v>
      </c>
      <c r="D810" s="1">
        <v>1.0</v>
      </c>
      <c r="E810" s="1" t="s">
        <v>614</v>
      </c>
      <c r="F810" s="1">
        <v>948931.0</v>
      </c>
    </row>
    <row r="811">
      <c r="A811" s="1">
        <v>809.0</v>
      </c>
      <c r="B811" s="1" t="s">
        <v>742</v>
      </c>
      <c r="C811" s="1" t="s">
        <v>6</v>
      </c>
      <c r="D811" s="1">
        <v>1.0</v>
      </c>
      <c r="E811" s="1" t="s">
        <v>614</v>
      </c>
      <c r="F811" s="1">
        <v>690132.0</v>
      </c>
    </row>
    <row r="812">
      <c r="A812" s="1">
        <v>810.0</v>
      </c>
      <c r="B812" s="1" t="s">
        <v>743</v>
      </c>
      <c r="C812" s="1" t="s">
        <v>6</v>
      </c>
      <c r="D812" s="1">
        <v>1.0</v>
      </c>
      <c r="E812" s="1" t="s">
        <v>614</v>
      </c>
      <c r="F812" s="1">
        <v>31000.0</v>
      </c>
    </row>
    <row r="813">
      <c r="A813" s="1">
        <v>811.0</v>
      </c>
      <c r="B813" s="1" t="s">
        <v>744</v>
      </c>
      <c r="C813" s="1" t="s">
        <v>6</v>
      </c>
      <c r="D813" s="1">
        <v>1.0</v>
      </c>
      <c r="E813" s="1" t="s">
        <v>614</v>
      </c>
      <c r="F813" s="1">
        <v>369895.0</v>
      </c>
    </row>
    <row r="814">
      <c r="A814" s="1">
        <v>812.0</v>
      </c>
      <c r="B814" s="1" t="s">
        <v>745</v>
      </c>
      <c r="C814" s="1" t="s">
        <v>6</v>
      </c>
      <c r="D814" s="1">
        <v>1.0</v>
      </c>
      <c r="E814" s="1" t="s">
        <v>614</v>
      </c>
      <c r="F814" s="1">
        <v>671220.0</v>
      </c>
    </row>
    <row r="815">
      <c r="A815" s="1">
        <v>813.0</v>
      </c>
      <c r="B815" s="1" t="s">
        <v>746</v>
      </c>
      <c r="C815" s="1" t="s">
        <v>6</v>
      </c>
      <c r="D815" s="1">
        <v>1.0</v>
      </c>
      <c r="E815" s="1" t="s">
        <v>614</v>
      </c>
      <c r="F815" s="1">
        <v>250815.0</v>
      </c>
    </row>
    <row r="816">
      <c r="A816" s="1">
        <v>814.0</v>
      </c>
      <c r="B816" s="1" t="s">
        <v>747</v>
      </c>
      <c r="C816" s="1" t="s">
        <v>6</v>
      </c>
      <c r="D816" s="1">
        <v>1.0</v>
      </c>
      <c r="E816" s="1" t="s">
        <v>614</v>
      </c>
      <c r="F816" s="1">
        <v>540000.0</v>
      </c>
    </row>
    <row r="817">
      <c r="A817" s="1">
        <v>815.0</v>
      </c>
      <c r="B817" s="1" t="s">
        <v>748</v>
      </c>
      <c r="C817" s="1" t="s">
        <v>6</v>
      </c>
      <c r="D817" s="1">
        <v>1.0</v>
      </c>
      <c r="E817" s="1" t="s">
        <v>614</v>
      </c>
      <c r="F817" s="1">
        <v>1149375.0</v>
      </c>
    </row>
    <row r="818">
      <c r="A818" s="1">
        <v>816.0</v>
      </c>
      <c r="B818" s="1" t="s">
        <v>749</v>
      </c>
      <c r="C818" s="1" t="s">
        <v>6</v>
      </c>
      <c r="D818" s="1">
        <v>9.0</v>
      </c>
      <c r="E818" s="1" t="s">
        <v>614</v>
      </c>
      <c r="F818" s="1">
        <v>1057005.0</v>
      </c>
    </row>
    <row r="819">
      <c r="A819" s="1">
        <v>817.0</v>
      </c>
      <c r="B819" s="1" t="s">
        <v>69</v>
      </c>
      <c r="C819" s="1" t="s">
        <v>750</v>
      </c>
      <c r="D819" s="1">
        <v>5.0</v>
      </c>
      <c r="E819" s="1" t="s">
        <v>614</v>
      </c>
      <c r="F819" s="1">
        <v>2671464.0</v>
      </c>
    </row>
    <row r="820">
      <c r="A820" s="1">
        <v>818.0</v>
      </c>
      <c r="B820" s="1" t="s">
        <v>751</v>
      </c>
      <c r="C820" s="1" t="s">
        <v>6</v>
      </c>
      <c r="D820" s="1">
        <v>4.0</v>
      </c>
      <c r="E820" s="1" t="s">
        <v>614</v>
      </c>
      <c r="F820" s="1">
        <v>1997263.0</v>
      </c>
    </row>
    <row r="821">
      <c r="A821" s="1">
        <v>819.0</v>
      </c>
      <c r="B821" s="1" t="s">
        <v>752</v>
      </c>
      <c r="C821" s="1" t="s">
        <v>753</v>
      </c>
      <c r="D821" s="1">
        <v>3.0</v>
      </c>
      <c r="E821" s="1" t="s">
        <v>614</v>
      </c>
      <c r="F821" s="1">
        <v>16825.0</v>
      </c>
    </row>
    <row r="822">
      <c r="A822" s="1">
        <v>820.0</v>
      </c>
      <c r="B822" s="1" t="s">
        <v>611</v>
      </c>
      <c r="C822" s="1" t="s">
        <v>753</v>
      </c>
      <c r="D822" s="1">
        <v>2.0</v>
      </c>
      <c r="E822" s="1" t="s">
        <v>614</v>
      </c>
      <c r="F822" s="1">
        <v>30027.0</v>
      </c>
    </row>
    <row r="823">
      <c r="A823" s="1">
        <v>821.0</v>
      </c>
      <c r="B823" s="1" t="s">
        <v>617</v>
      </c>
      <c r="C823" s="1" t="s">
        <v>753</v>
      </c>
      <c r="D823" s="1">
        <v>2.0</v>
      </c>
      <c r="E823" s="1" t="s">
        <v>614</v>
      </c>
      <c r="F823" s="1">
        <v>28717.0</v>
      </c>
    </row>
    <row r="824">
      <c r="A824" s="1">
        <v>822.0</v>
      </c>
      <c r="B824" s="1" t="s">
        <v>615</v>
      </c>
      <c r="C824" s="1" t="s">
        <v>753</v>
      </c>
      <c r="D824" s="1">
        <v>2.0</v>
      </c>
      <c r="E824" s="1" t="s">
        <v>614</v>
      </c>
      <c r="F824" s="1">
        <v>30693.0</v>
      </c>
    </row>
    <row r="825">
      <c r="A825" s="1">
        <v>823.0</v>
      </c>
      <c r="B825" s="5" t="s">
        <v>699</v>
      </c>
      <c r="C825" s="1" t="s">
        <v>753</v>
      </c>
      <c r="D825" s="1">
        <v>2.0</v>
      </c>
      <c r="E825" s="1" t="s">
        <v>614</v>
      </c>
      <c r="F825" s="1">
        <v>35268.0</v>
      </c>
    </row>
    <row r="826">
      <c r="A826" s="1">
        <v>824.0</v>
      </c>
      <c r="B826" s="1" t="s">
        <v>717</v>
      </c>
      <c r="C826" s="1" t="s">
        <v>753</v>
      </c>
      <c r="D826" s="1">
        <v>2.0</v>
      </c>
      <c r="E826" s="1" t="s">
        <v>614</v>
      </c>
      <c r="F826" s="1">
        <v>17949.0</v>
      </c>
    </row>
    <row r="827">
      <c r="A827" s="1">
        <v>825.0</v>
      </c>
      <c r="B827" s="1" t="s">
        <v>9</v>
      </c>
      <c r="C827" s="1" t="s">
        <v>754</v>
      </c>
      <c r="D827" s="1">
        <v>2.0</v>
      </c>
      <c r="E827" s="1" t="s">
        <v>614</v>
      </c>
      <c r="F827" s="1">
        <v>2092324.0</v>
      </c>
    </row>
    <row r="828">
      <c r="A828" s="1">
        <v>826.0</v>
      </c>
      <c r="B828" s="1" t="s">
        <v>54</v>
      </c>
      <c r="C828" s="1" t="s">
        <v>754</v>
      </c>
      <c r="D828" s="1">
        <v>2.0</v>
      </c>
      <c r="E828" s="1" t="s">
        <v>614</v>
      </c>
      <c r="F828" s="1">
        <v>2182516.0</v>
      </c>
    </row>
    <row r="829">
      <c r="A829" s="1">
        <v>827.0</v>
      </c>
      <c r="B829" s="1" t="s">
        <v>629</v>
      </c>
      <c r="C829" s="1" t="s">
        <v>754</v>
      </c>
      <c r="D829" s="1">
        <v>2.0</v>
      </c>
      <c r="E829" s="1" t="s">
        <v>614</v>
      </c>
      <c r="F829" s="1">
        <v>2796928.0</v>
      </c>
    </row>
    <row r="830">
      <c r="A830" s="1">
        <v>828.0</v>
      </c>
      <c r="B830" s="1" t="s">
        <v>405</v>
      </c>
      <c r="C830" s="1" t="s">
        <v>754</v>
      </c>
      <c r="D830" s="1">
        <v>2.0</v>
      </c>
      <c r="E830" s="1" t="s">
        <v>614</v>
      </c>
      <c r="F830" s="1">
        <v>1392244.0</v>
      </c>
    </row>
    <row r="831">
      <c r="A831" s="1">
        <v>829.0</v>
      </c>
      <c r="B831" s="1" t="s">
        <v>617</v>
      </c>
      <c r="C831" s="1" t="s">
        <v>754</v>
      </c>
      <c r="D831" s="1">
        <v>2.0</v>
      </c>
      <c r="E831" s="1" t="s">
        <v>614</v>
      </c>
      <c r="F831" s="1">
        <v>1903930.0</v>
      </c>
    </row>
    <row r="832">
      <c r="A832" s="1">
        <v>830.0</v>
      </c>
      <c r="B832" s="1" t="s">
        <v>755</v>
      </c>
      <c r="C832" s="1" t="s">
        <v>754</v>
      </c>
      <c r="D832" s="1">
        <v>2.0</v>
      </c>
      <c r="E832" s="1" t="s">
        <v>614</v>
      </c>
      <c r="F832" s="1">
        <v>1033817.0</v>
      </c>
    </row>
    <row r="833">
      <c r="A833" s="1">
        <v>831.0</v>
      </c>
      <c r="B833" s="1" t="s">
        <v>756</v>
      </c>
      <c r="C833" s="1" t="s">
        <v>754</v>
      </c>
      <c r="D833" s="1">
        <v>2.0</v>
      </c>
      <c r="E833" s="1" t="s">
        <v>614</v>
      </c>
      <c r="F833" s="1">
        <v>2170283.0</v>
      </c>
    </row>
    <row r="834">
      <c r="A834" s="1">
        <v>832.0</v>
      </c>
      <c r="B834" s="1" t="s">
        <v>626</v>
      </c>
      <c r="C834" s="1" t="s">
        <v>754</v>
      </c>
      <c r="D834" s="1">
        <v>2.0</v>
      </c>
      <c r="E834" s="1" t="s">
        <v>614</v>
      </c>
      <c r="F834" s="1">
        <v>1058135.0</v>
      </c>
    </row>
    <row r="835">
      <c r="A835" s="1">
        <v>833.0</v>
      </c>
      <c r="B835" s="1" t="s">
        <v>616</v>
      </c>
      <c r="C835" s="1" t="s">
        <v>754</v>
      </c>
      <c r="D835" s="1">
        <v>2.0</v>
      </c>
      <c r="E835" s="1" t="s">
        <v>614</v>
      </c>
      <c r="F835" s="1">
        <v>1696245.0</v>
      </c>
    </row>
    <row r="836">
      <c r="A836" s="1">
        <v>834.0</v>
      </c>
      <c r="B836" s="1" t="s">
        <v>618</v>
      </c>
      <c r="C836" s="1" t="s">
        <v>757</v>
      </c>
      <c r="D836" s="1">
        <v>2.0</v>
      </c>
      <c r="E836" s="1" t="s">
        <v>614</v>
      </c>
      <c r="F836" s="1">
        <v>708351.0</v>
      </c>
    </row>
    <row r="837">
      <c r="A837" s="1">
        <v>835.0</v>
      </c>
      <c r="B837" s="1" t="s">
        <v>758</v>
      </c>
      <c r="C837" s="1" t="s">
        <v>757</v>
      </c>
      <c r="D837" s="1">
        <v>2.0</v>
      </c>
      <c r="E837" s="1" t="s">
        <v>614</v>
      </c>
      <c r="F837" s="1">
        <v>14329.0</v>
      </c>
    </row>
    <row r="838">
      <c r="A838" s="1">
        <v>836.0</v>
      </c>
      <c r="B838" s="1" t="s">
        <v>12</v>
      </c>
      <c r="C838" s="1" t="s">
        <v>759</v>
      </c>
      <c r="D838" s="1">
        <v>2.0</v>
      </c>
      <c r="E838" s="1" t="s">
        <v>614</v>
      </c>
      <c r="F838" s="1">
        <v>1653998.0</v>
      </c>
    </row>
    <row r="839">
      <c r="A839" s="1">
        <v>837.0</v>
      </c>
      <c r="B839" s="1" t="s">
        <v>27</v>
      </c>
      <c r="C839" s="1" t="s">
        <v>759</v>
      </c>
      <c r="D839" s="1">
        <v>2.0</v>
      </c>
      <c r="E839" s="1" t="s">
        <v>614</v>
      </c>
      <c r="F839" s="1">
        <v>1892322.0</v>
      </c>
    </row>
    <row r="840">
      <c r="A840" s="1">
        <v>838.0</v>
      </c>
      <c r="B840" s="1" t="s">
        <v>69</v>
      </c>
      <c r="C840" s="1" t="s">
        <v>760</v>
      </c>
      <c r="D840" s="1">
        <v>2.0</v>
      </c>
      <c r="E840" s="1" t="s">
        <v>614</v>
      </c>
      <c r="F840" s="1">
        <v>4619021.0</v>
      </c>
    </row>
    <row r="841">
      <c r="A841" s="1">
        <v>839.0</v>
      </c>
      <c r="B841" s="1" t="s">
        <v>756</v>
      </c>
      <c r="C841" s="1" t="s">
        <v>761</v>
      </c>
      <c r="D841" s="1">
        <v>2.0</v>
      </c>
      <c r="E841" s="1" t="s">
        <v>614</v>
      </c>
      <c r="F841" s="1">
        <v>50876.0</v>
      </c>
    </row>
    <row r="842">
      <c r="A842" s="1">
        <v>840.0</v>
      </c>
      <c r="B842" s="1" t="s">
        <v>611</v>
      </c>
      <c r="C842" s="1" t="s">
        <v>762</v>
      </c>
      <c r="D842" s="1">
        <v>2.0</v>
      </c>
      <c r="E842" s="1" t="s">
        <v>614</v>
      </c>
      <c r="F842" s="1">
        <v>4068310.0</v>
      </c>
    </row>
    <row r="843">
      <c r="A843" s="1">
        <v>841.0</v>
      </c>
      <c r="B843" s="1" t="s">
        <v>763</v>
      </c>
      <c r="C843" s="1" t="s">
        <v>753</v>
      </c>
      <c r="D843" s="1">
        <v>1.0</v>
      </c>
      <c r="E843" s="1" t="s">
        <v>614</v>
      </c>
      <c r="F843" s="1">
        <v>5137.0</v>
      </c>
    </row>
    <row r="844">
      <c r="A844" s="1">
        <v>842.0</v>
      </c>
      <c r="B844" s="1" t="s">
        <v>267</v>
      </c>
      <c r="C844" s="1" t="s">
        <v>753</v>
      </c>
      <c r="D844" s="1">
        <v>1.0</v>
      </c>
      <c r="E844" s="1" t="s">
        <v>614</v>
      </c>
      <c r="F844" s="1">
        <v>16979.0</v>
      </c>
    </row>
    <row r="845">
      <c r="A845" s="1">
        <v>843.0</v>
      </c>
      <c r="B845" s="1" t="s">
        <v>665</v>
      </c>
      <c r="C845" s="1" t="s">
        <v>753</v>
      </c>
      <c r="D845" s="1">
        <v>1.0</v>
      </c>
      <c r="E845" s="1" t="s">
        <v>614</v>
      </c>
      <c r="F845" s="1">
        <v>61394.0</v>
      </c>
    </row>
    <row r="846">
      <c r="A846" s="1">
        <v>844.0</v>
      </c>
      <c r="B846" s="1" t="s">
        <v>764</v>
      </c>
      <c r="C846" s="1" t="s">
        <v>753</v>
      </c>
      <c r="D846" s="1">
        <v>1.0</v>
      </c>
      <c r="E846" s="1" t="s">
        <v>614</v>
      </c>
      <c r="F846" s="1">
        <v>112474.0</v>
      </c>
    </row>
    <row r="847">
      <c r="A847" s="1">
        <v>845.0</v>
      </c>
      <c r="B847" s="1" t="s">
        <v>643</v>
      </c>
      <c r="C847" s="1" t="s">
        <v>753</v>
      </c>
      <c r="D847" s="1">
        <v>1.0</v>
      </c>
      <c r="E847" s="1" t="s">
        <v>614</v>
      </c>
      <c r="F847" s="1">
        <v>19040.0</v>
      </c>
    </row>
    <row r="848">
      <c r="A848" s="1">
        <v>846.0</v>
      </c>
      <c r="B848" s="1" t="s">
        <v>765</v>
      </c>
      <c r="C848" s="1" t="s">
        <v>753</v>
      </c>
      <c r="D848" s="1">
        <v>1.0</v>
      </c>
      <c r="E848" s="1" t="s">
        <v>614</v>
      </c>
      <c r="F848" s="1">
        <v>41549.0</v>
      </c>
    </row>
    <row r="849">
      <c r="A849" s="1">
        <v>847.0</v>
      </c>
      <c r="B849" s="1" t="s">
        <v>626</v>
      </c>
      <c r="C849" s="1" t="s">
        <v>753</v>
      </c>
      <c r="D849" s="1">
        <v>1.0</v>
      </c>
      <c r="E849" s="1" t="s">
        <v>614</v>
      </c>
      <c r="F849" s="1">
        <v>28896.0</v>
      </c>
    </row>
    <row r="850">
      <c r="A850" s="1">
        <v>848.0</v>
      </c>
      <c r="B850" s="1" t="s">
        <v>68</v>
      </c>
      <c r="C850" s="1" t="s">
        <v>753</v>
      </c>
      <c r="D850" s="1">
        <v>1.0</v>
      </c>
      <c r="E850" s="1" t="s">
        <v>614</v>
      </c>
      <c r="F850" s="1">
        <v>346353.0</v>
      </c>
    </row>
    <row r="851">
      <c r="A851" s="1">
        <v>849.0</v>
      </c>
      <c r="B851" s="1" t="s">
        <v>766</v>
      </c>
      <c r="C851" s="1" t="s">
        <v>753</v>
      </c>
      <c r="D851" s="1">
        <v>1.0</v>
      </c>
      <c r="E851" s="1" t="s">
        <v>614</v>
      </c>
      <c r="F851" s="1">
        <v>52577.0</v>
      </c>
    </row>
    <row r="852">
      <c r="A852" s="1">
        <v>850.0</v>
      </c>
      <c r="B852" s="1" t="s">
        <v>706</v>
      </c>
      <c r="C852" s="1" t="s">
        <v>753</v>
      </c>
      <c r="D852" s="1">
        <v>1.0</v>
      </c>
      <c r="E852" s="1" t="s">
        <v>614</v>
      </c>
      <c r="F852" s="1">
        <v>12279.0</v>
      </c>
    </row>
    <row r="853">
      <c r="A853" s="1">
        <v>851.0</v>
      </c>
      <c r="B853" s="1" t="s">
        <v>767</v>
      </c>
      <c r="C853" s="1" t="s">
        <v>753</v>
      </c>
      <c r="D853" s="1">
        <v>1.0</v>
      </c>
      <c r="E853" s="1" t="s">
        <v>614</v>
      </c>
      <c r="F853" s="1">
        <v>24427.0</v>
      </c>
    </row>
    <row r="854">
      <c r="A854" s="1">
        <v>852.0</v>
      </c>
      <c r="B854" s="1" t="s">
        <v>768</v>
      </c>
      <c r="C854" s="1" t="s">
        <v>753</v>
      </c>
      <c r="D854" s="1">
        <v>1.0</v>
      </c>
      <c r="E854" s="1" t="s">
        <v>614</v>
      </c>
      <c r="F854" s="1">
        <v>5353.0</v>
      </c>
    </row>
    <row r="855">
      <c r="A855" s="1">
        <v>853.0</v>
      </c>
      <c r="B855" s="1" t="s">
        <v>769</v>
      </c>
      <c r="C855" s="1" t="s">
        <v>753</v>
      </c>
      <c r="D855" s="1">
        <v>1.0</v>
      </c>
      <c r="E855" s="1" t="s">
        <v>614</v>
      </c>
      <c r="F855" s="1">
        <v>14217.0</v>
      </c>
    </row>
    <row r="856">
      <c r="A856" s="1">
        <v>854.0</v>
      </c>
      <c r="B856" s="1" t="s">
        <v>770</v>
      </c>
      <c r="C856" s="1" t="s">
        <v>753</v>
      </c>
      <c r="D856" s="1">
        <v>1.0</v>
      </c>
      <c r="E856" s="1" t="s">
        <v>614</v>
      </c>
      <c r="F856" s="1">
        <v>36356.0</v>
      </c>
    </row>
    <row r="857">
      <c r="A857" s="1">
        <v>855.0</v>
      </c>
      <c r="B857" s="1" t="s">
        <v>725</v>
      </c>
      <c r="C857" s="1" t="s">
        <v>753</v>
      </c>
      <c r="D857" s="1">
        <v>1.0</v>
      </c>
      <c r="E857" s="1" t="s">
        <v>614</v>
      </c>
      <c r="F857" s="1">
        <v>10326.0</v>
      </c>
    </row>
    <row r="858">
      <c r="A858" s="1">
        <v>856.0</v>
      </c>
      <c r="B858" s="1" t="s">
        <v>771</v>
      </c>
      <c r="C858" s="1" t="s">
        <v>753</v>
      </c>
      <c r="D858" s="1">
        <v>1.0</v>
      </c>
      <c r="E858" s="1" t="s">
        <v>614</v>
      </c>
      <c r="F858" s="1">
        <v>215405.0</v>
      </c>
    </row>
    <row r="859">
      <c r="A859" s="1">
        <v>857.0</v>
      </c>
      <c r="B859" s="1" t="s">
        <v>772</v>
      </c>
      <c r="C859" s="1" t="s">
        <v>753</v>
      </c>
      <c r="D859" s="1">
        <v>1.0</v>
      </c>
      <c r="E859" s="1" t="s">
        <v>614</v>
      </c>
      <c r="F859" s="1">
        <v>20065.0</v>
      </c>
    </row>
    <row r="860">
      <c r="A860" s="1">
        <v>858.0</v>
      </c>
      <c r="B860" s="1" t="s">
        <v>9</v>
      </c>
      <c r="C860" s="1" t="s">
        <v>754</v>
      </c>
      <c r="D860" s="1">
        <v>1.0</v>
      </c>
      <c r="E860" s="1" t="s">
        <v>614</v>
      </c>
      <c r="F860" s="1">
        <v>324089.0</v>
      </c>
    </row>
    <row r="861">
      <c r="A861" s="1">
        <v>859.0</v>
      </c>
      <c r="B861" s="1" t="s">
        <v>11</v>
      </c>
      <c r="C861" s="1" t="s">
        <v>754</v>
      </c>
      <c r="D861" s="1">
        <v>1.0</v>
      </c>
      <c r="E861" s="1" t="s">
        <v>614</v>
      </c>
      <c r="F861" s="1">
        <v>1076606.0</v>
      </c>
    </row>
    <row r="862">
      <c r="A862" s="1">
        <v>860.0</v>
      </c>
      <c r="B862" s="1" t="s">
        <v>773</v>
      </c>
      <c r="C862" s="1" t="s">
        <v>754</v>
      </c>
      <c r="D862" s="1">
        <v>1.0</v>
      </c>
      <c r="E862" s="1" t="s">
        <v>614</v>
      </c>
      <c r="F862" s="1">
        <v>808.0</v>
      </c>
    </row>
    <row r="863">
      <c r="A863" s="1">
        <v>861.0</v>
      </c>
      <c r="B863" s="1" t="s">
        <v>622</v>
      </c>
      <c r="C863" s="1" t="s">
        <v>754</v>
      </c>
      <c r="D863" s="1">
        <v>1.0</v>
      </c>
      <c r="E863" s="1" t="s">
        <v>614</v>
      </c>
      <c r="F863" s="1">
        <v>474.0</v>
      </c>
    </row>
    <row r="864">
      <c r="A864" s="1">
        <v>862.0</v>
      </c>
      <c r="B864" s="1" t="s">
        <v>774</v>
      </c>
      <c r="C864" s="1" t="s">
        <v>754</v>
      </c>
      <c r="D864" s="1">
        <v>1.0</v>
      </c>
      <c r="E864" s="1" t="s">
        <v>614</v>
      </c>
      <c r="F864" s="1">
        <v>1485766.0</v>
      </c>
    </row>
    <row r="865">
      <c r="A865" s="1">
        <v>863.0</v>
      </c>
      <c r="B865" s="1" t="s">
        <v>631</v>
      </c>
      <c r="C865" s="1" t="s">
        <v>754</v>
      </c>
      <c r="D865" s="1">
        <v>1.0</v>
      </c>
      <c r="E865" s="1" t="s">
        <v>614</v>
      </c>
      <c r="F865" s="1">
        <v>2821193.0</v>
      </c>
    </row>
    <row r="866">
      <c r="A866" s="1">
        <v>864.0</v>
      </c>
      <c r="B866" s="1" t="s">
        <v>246</v>
      </c>
      <c r="C866" s="1" t="s">
        <v>754</v>
      </c>
      <c r="D866" s="1">
        <v>1.0</v>
      </c>
      <c r="E866" s="1" t="s">
        <v>614</v>
      </c>
      <c r="F866" s="1">
        <v>3654010.0</v>
      </c>
    </row>
    <row r="867">
      <c r="A867" s="1">
        <v>865.0</v>
      </c>
      <c r="B867" s="1" t="s">
        <v>775</v>
      </c>
      <c r="C867" s="1" t="s">
        <v>754</v>
      </c>
      <c r="D867" s="1">
        <v>1.0</v>
      </c>
      <c r="E867" s="1" t="s">
        <v>614</v>
      </c>
      <c r="F867" s="1">
        <v>1774461.0</v>
      </c>
    </row>
    <row r="868">
      <c r="A868" s="1">
        <v>866.0</v>
      </c>
      <c r="B868" s="1" t="s">
        <v>776</v>
      </c>
      <c r="C868" s="1" t="s">
        <v>754</v>
      </c>
      <c r="D868" s="1">
        <v>1.0</v>
      </c>
      <c r="E868" s="1" t="s">
        <v>614</v>
      </c>
      <c r="F868" s="1">
        <v>235.0</v>
      </c>
    </row>
    <row r="869">
      <c r="A869" s="1">
        <v>867.0</v>
      </c>
      <c r="B869" s="1" t="s">
        <v>311</v>
      </c>
      <c r="C869" s="1" t="s">
        <v>754</v>
      </c>
      <c r="D869" s="1">
        <v>1.0</v>
      </c>
      <c r="E869" s="1" t="s">
        <v>614</v>
      </c>
      <c r="F869" s="1">
        <v>44.0</v>
      </c>
    </row>
    <row r="870">
      <c r="A870" s="1">
        <v>868.0</v>
      </c>
      <c r="B870" s="1" t="s">
        <v>777</v>
      </c>
      <c r="C870" s="1" t="s">
        <v>754</v>
      </c>
      <c r="D870" s="1">
        <v>1.0</v>
      </c>
      <c r="E870" s="1" t="s">
        <v>614</v>
      </c>
      <c r="F870" s="1">
        <v>107702.0</v>
      </c>
    </row>
    <row r="871">
      <c r="A871" s="1">
        <v>869.0</v>
      </c>
      <c r="B871" s="1" t="s">
        <v>618</v>
      </c>
      <c r="C871" s="1" t="s">
        <v>754</v>
      </c>
      <c r="D871" s="1">
        <v>1.0</v>
      </c>
      <c r="E871" s="1" t="s">
        <v>614</v>
      </c>
      <c r="F871" s="1">
        <v>1306108.0</v>
      </c>
    </row>
    <row r="872">
      <c r="A872" s="1">
        <v>870.0</v>
      </c>
      <c r="B872" s="1" t="s">
        <v>678</v>
      </c>
      <c r="C872" s="1" t="s">
        <v>754</v>
      </c>
      <c r="D872" s="1">
        <v>1.0</v>
      </c>
      <c r="E872" s="1" t="s">
        <v>614</v>
      </c>
      <c r="F872" s="1">
        <v>474.0</v>
      </c>
    </row>
    <row r="873">
      <c r="A873" s="1">
        <v>871.0</v>
      </c>
      <c r="B873" s="1" t="s">
        <v>778</v>
      </c>
      <c r="C873" s="1" t="s">
        <v>754</v>
      </c>
      <c r="D873" s="1">
        <v>1.0</v>
      </c>
      <c r="E873" s="1" t="s">
        <v>614</v>
      </c>
      <c r="F873" s="1">
        <v>1125483.0</v>
      </c>
    </row>
    <row r="874">
      <c r="A874" s="1">
        <v>872.0</v>
      </c>
      <c r="B874" s="1" t="s">
        <v>779</v>
      </c>
      <c r="C874" s="1" t="s">
        <v>754</v>
      </c>
      <c r="D874" s="1">
        <v>1.0</v>
      </c>
      <c r="E874" s="1" t="s">
        <v>614</v>
      </c>
      <c r="F874" s="1">
        <v>1954352.0</v>
      </c>
    </row>
    <row r="875">
      <c r="A875" s="1">
        <v>873.0</v>
      </c>
      <c r="B875" s="1" t="s">
        <v>780</v>
      </c>
      <c r="C875" s="1" t="s">
        <v>754</v>
      </c>
      <c r="D875" s="1">
        <v>1.0</v>
      </c>
      <c r="E875" s="1" t="s">
        <v>614</v>
      </c>
      <c r="F875" s="1">
        <v>2716704.0</v>
      </c>
    </row>
    <row r="876">
      <c r="A876" s="1">
        <v>874.0</v>
      </c>
      <c r="B876" s="1" t="s">
        <v>781</v>
      </c>
      <c r="C876" s="1" t="s">
        <v>754</v>
      </c>
      <c r="D876" s="1">
        <v>1.0</v>
      </c>
      <c r="E876" s="1" t="s">
        <v>614</v>
      </c>
      <c r="F876" s="1">
        <v>144449.0</v>
      </c>
    </row>
    <row r="877">
      <c r="A877" s="1">
        <v>875.0</v>
      </c>
      <c r="B877" s="1" t="s">
        <v>625</v>
      </c>
      <c r="C877" s="1" t="s">
        <v>754</v>
      </c>
      <c r="D877" s="1">
        <v>1.0</v>
      </c>
      <c r="E877" s="1" t="s">
        <v>614</v>
      </c>
      <c r="F877" s="1">
        <v>3650320.0</v>
      </c>
    </row>
    <row r="878">
      <c r="A878" s="1">
        <v>876.0</v>
      </c>
      <c r="B878" s="1" t="s">
        <v>782</v>
      </c>
      <c r="C878" s="1" t="s">
        <v>754</v>
      </c>
      <c r="D878" s="1">
        <v>1.0</v>
      </c>
      <c r="E878" s="1" t="s">
        <v>614</v>
      </c>
      <c r="F878" s="1">
        <v>1504891.0</v>
      </c>
    </row>
    <row r="879">
      <c r="A879" s="1">
        <v>877.0</v>
      </c>
      <c r="B879" s="1" t="s">
        <v>783</v>
      </c>
      <c r="C879" s="1" t="s">
        <v>754</v>
      </c>
      <c r="D879" s="1">
        <v>1.0</v>
      </c>
      <c r="E879" s="1" t="s">
        <v>614</v>
      </c>
      <c r="F879" s="1">
        <v>2192406.0</v>
      </c>
    </row>
    <row r="880">
      <c r="A880" s="1">
        <v>878.0</v>
      </c>
      <c r="B880" s="1" t="s">
        <v>784</v>
      </c>
      <c r="C880" s="1" t="s">
        <v>754</v>
      </c>
      <c r="D880" s="1">
        <v>1.0</v>
      </c>
      <c r="E880" s="1" t="s">
        <v>614</v>
      </c>
      <c r="F880" s="1">
        <v>508.0</v>
      </c>
    </row>
    <row r="881">
      <c r="A881" s="1">
        <v>879.0</v>
      </c>
      <c r="B881" s="1" t="s">
        <v>785</v>
      </c>
      <c r="C881" s="1" t="s">
        <v>754</v>
      </c>
      <c r="D881" s="1">
        <v>1.0</v>
      </c>
      <c r="E881" s="1" t="s">
        <v>614</v>
      </c>
      <c r="F881" s="1">
        <v>2579455.0</v>
      </c>
    </row>
    <row r="882">
      <c r="A882" s="1">
        <v>880.0</v>
      </c>
      <c r="B882" s="1" t="s">
        <v>786</v>
      </c>
      <c r="C882" s="1" t="s">
        <v>754</v>
      </c>
      <c r="D882" s="1">
        <v>1.0</v>
      </c>
      <c r="E882" s="1" t="s">
        <v>614</v>
      </c>
      <c r="F882" s="1">
        <v>120391.0</v>
      </c>
    </row>
    <row r="883">
      <c r="A883" s="1">
        <v>881.0</v>
      </c>
      <c r="B883" s="1" t="s">
        <v>12</v>
      </c>
      <c r="C883" s="1" t="s">
        <v>757</v>
      </c>
      <c r="D883" s="1">
        <v>1.0</v>
      </c>
      <c r="E883" s="1" t="s">
        <v>614</v>
      </c>
      <c r="F883" s="1">
        <v>1038730.0</v>
      </c>
    </row>
    <row r="884">
      <c r="A884" s="1">
        <v>882.0</v>
      </c>
      <c r="B884" s="1" t="s">
        <v>643</v>
      </c>
      <c r="C884" s="1" t="s">
        <v>757</v>
      </c>
      <c r="D884" s="1">
        <v>1.0</v>
      </c>
      <c r="E884" s="1" t="s">
        <v>614</v>
      </c>
      <c r="F884" s="1">
        <v>478015.0</v>
      </c>
    </row>
    <row r="885">
      <c r="A885" s="1">
        <v>883.0</v>
      </c>
      <c r="B885" s="1" t="s">
        <v>724</v>
      </c>
      <c r="C885" s="1" t="s">
        <v>757</v>
      </c>
      <c r="D885" s="1">
        <v>1.0</v>
      </c>
      <c r="E885" s="1" t="s">
        <v>614</v>
      </c>
      <c r="F885" s="1">
        <v>160580.0</v>
      </c>
    </row>
    <row r="886">
      <c r="A886" s="1">
        <v>884.0</v>
      </c>
      <c r="B886" s="1" t="s">
        <v>787</v>
      </c>
      <c r="C886" s="1" t="s">
        <v>757</v>
      </c>
      <c r="D886" s="1">
        <v>1.0</v>
      </c>
      <c r="E886" s="1" t="s">
        <v>614</v>
      </c>
      <c r="F886" s="1">
        <v>10370.0</v>
      </c>
    </row>
    <row r="887">
      <c r="A887" s="1">
        <v>885.0</v>
      </c>
      <c r="B887" s="1" t="s">
        <v>788</v>
      </c>
      <c r="C887" s="1" t="s">
        <v>757</v>
      </c>
      <c r="D887" s="1">
        <v>1.0</v>
      </c>
      <c r="E887" s="1" t="s">
        <v>614</v>
      </c>
      <c r="F887" s="1">
        <v>413058.0</v>
      </c>
    </row>
    <row r="888">
      <c r="A888" s="1">
        <v>886.0</v>
      </c>
      <c r="B888" s="1" t="s">
        <v>11</v>
      </c>
      <c r="C888" s="1" t="s">
        <v>759</v>
      </c>
      <c r="D888" s="1">
        <v>1.0</v>
      </c>
      <c r="E888" s="1" t="s">
        <v>614</v>
      </c>
      <c r="F888" s="1">
        <v>2839138.0</v>
      </c>
    </row>
    <row r="889">
      <c r="A889" s="1">
        <v>887.0</v>
      </c>
      <c r="B889" s="1" t="s">
        <v>635</v>
      </c>
      <c r="C889" s="1" t="s">
        <v>759</v>
      </c>
      <c r="D889" s="1">
        <v>1.0</v>
      </c>
      <c r="E889" s="1" t="s">
        <v>614</v>
      </c>
      <c r="F889" s="1">
        <v>1520967.0</v>
      </c>
    </row>
    <row r="890">
      <c r="A890" s="1">
        <v>888.0</v>
      </c>
      <c r="B890" s="1" t="s">
        <v>774</v>
      </c>
      <c r="C890" s="1" t="s">
        <v>759</v>
      </c>
      <c r="D890" s="1">
        <v>1.0</v>
      </c>
      <c r="E890" s="1" t="s">
        <v>614</v>
      </c>
      <c r="F890" s="1">
        <v>1531979.0</v>
      </c>
    </row>
    <row r="891">
      <c r="A891" s="1">
        <v>889.0</v>
      </c>
      <c r="B891" s="1" t="s">
        <v>665</v>
      </c>
      <c r="C891" s="1" t="s">
        <v>759</v>
      </c>
      <c r="D891" s="1">
        <v>1.0</v>
      </c>
      <c r="E891" s="1" t="s">
        <v>614</v>
      </c>
      <c r="F891" s="1">
        <v>1674730.0</v>
      </c>
    </row>
    <row r="892">
      <c r="A892" s="1">
        <v>890.0</v>
      </c>
      <c r="B892" s="1" t="s">
        <v>31</v>
      </c>
      <c r="C892" s="1" t="s">
        <v>6</v>
      </c>
      <c r="D892" s="1">
        <v>23.0</v>
      </c>
      <c r="E892" s="1" t="s">
        <v>789</v>
      </c>
      <c r="F892" s="1">
        <v>1712178.0</v>
      </c>
    </row>
    <row r="893">
      <c r="A893" s="1">
        <v>891.0</v>
      </c>
      <c r="B893" s="1" t="s">
        <v>598</v>
      </c>
      <c r="C893" s="1" t="s">
        <v>6</v>
      </c>
      <c r="D893" s="1">
        <v>20.0</v>
      </c>
      <c r="E893" s="1" t="s">
        <v>789</v>
      </c>
      <c r="F893" s="1">
        <v>999578.0</v>
      </c>
    </row>
    <row r="894">
      <c r="A894" s="1">
        <v>892.0</v>
      </c>
      <c r="B894" s="1" t="s">
        <v>9</v>
      </c>
      <c r="C894" s="1" t="s">
        <v>6</v>
      </c>
      <c r="D894" s="1">
        <v>18.0</v>
      </c>
      <c r="E894" s="1" t="s">
        <v>789</v>
      </c>
      <c r="F894" s="1">
        <v>697843.0</v>
      </c>
    </row>
    <row r="895">
      <c r="A895" s="1">
        <v>893.0</v>
      </c>
      <c r="B895" s="1" t="s">
        <v>12</v>
      </c>
      <c r="C895" s="1" t="s">
        <v>6</v>
      </c>
      <c r="D895" s="1">
        <v>18.0</v>
      </c>
      <c r="E895" s="1" t="s">
        <v>789</v>
      </c>
      <c r="F895" s="1">
        <v>583334.0</v>
      </c>
    </row>
    <row r="896">
      <c r="A896" s="1">
        <v>894.0</v>
      </c>
      <c r="B896" s="1" t="s">
        <v>469</v>
      </c>
      <c r="C896" s="1" t="s">
        <v>6</v>
      </c>
      <c r="D896" s="1">
        <v>15.0</v>
      </c>
      <c r="E896" s="1" t="s">
        <v>789</v>
      </c>
      <c r="F896" s="1">
        <v>693.0</v>
      </c>
    </row>
    <row r="897">
      <c r="A897" s="1">
        <v>895.0</v>
      </c>
      <c r="B897" s="1" t="s">
        <v>790</v>
      </c>
      <c r="C897" s="1" t="s">
        <v>6</v>
      </c>
      <c r="D897" s="1">
        <v>10.0</v>
      </c>
      <c r="E897" s="1" t="s">
        <v>789</v>
      </c>
      <c r="F897" s="1">
        <v>743423.0</v>
      </c>
    </row>
    <row r="898">
      <c r="A898" s="1">
        <v>896.0</v>
      </c>
      <c r="B898" s="1" t="s">
        <v>620</v>
      </c>
      <c r="C898" s="1" t="s">
        <v>6</v>
      </c>
      <c r="D898" s="1">
        <v>9.0</v>
      </c>
      <c r="E898" s="1" t="s">
        <v>789</v>
      </c>
      <c r="F898" s="1">
        <v>652546.0</v>
      </c>
    </row>
    <row r="899">
      <c r="A899" s="1">
        <v>897.0</v>
      </c>
      <c r="B899" s="1" t="s">
        <v>791</v>
      </c>
      <c r="C899" s="1" t="s">
        <v>6</v>
      </c>
      <c r="D899" s="1">
        <v>9.0</v>
      </c>
      <c r="E899" s="1" t="s">
        <v>789</v>
      </c>
      <c r="F899" s="1">
        <v>83.0</v>
      </c>
    </row>
    <row r="900">
      <c r="A900" s="1">
        <v>898.0</v>
      </c>
      <c r="B900" s="1" t="s">
        <v>792</v>
      </c>
      <c r="C900" s="1" t="s">
        <v>6</v>
      </c>
      <c r="D900" s="1">
        <v>9.0</v>
      </c>
      <c r="E900" s="1" t="s">
        <v>789</v>
      </c>
      <c r="F900" s="1">
        <v>915028.0</v>
      </c>
    </row>
    <row r="901">
      <c r="A901" s="1">
        <v>899.0</v>
      </c>
      <c r="B901" s="1" t="s">
        <v>16</v>
      </c>
      <c r="C901" s="1" t="s">
        <v>6</v>
      </c>
      <c r="D901" s="1">
        <v>8.0</v>
      </c>
      <c r="E901" s="1" t="s">
        <v>789</v>
      </c>
      <c r="F901" s="1">
        <v>890344.0</v>
      </c>
    </row>
    <row r="902">
      <c r="A902" s="1">
        <v>900.0</v>
      </c>
      <c r="B902" s="1" t="s">
        <v>39</v>
      </c>
      <c r="C902" s="1" t="s">
        <v>6</v>
      </c>
      <c r="D902" s="1">
        <v>8.0</v>
      </c>
      <c r="E902" s="1" t="s">
        <v>789</v>
      </c>
      <c r="F902" s="1">
        <v>1997027.0</v>
      </c>
    </row>
    <row r="903">
      <c r="A903" s="1">
        <v>901.0</v>
      </c>
      <c r="B903" s="1" t="s">
        <v>793</v>
      </c>
      <c r="C903" s="1" t="s">
        <v>6</v>
      </c>
      <c r="D903" s="1">
        <v>8.0</v>
      </c>
      <c r="E903" s="1" t="s">
        <v>789</v>
      </c>
      <c r="F903" s="1">
        <v>1330683.0</v>
      </c>
    </row>
    <row r="904">
      <c r="A904" s="1">
        <v>902.0</v>
      </c>
      <c r="B904" s="1" t="s">
        <v>794</v>
      </c>
      <c r="C904" s="1" t="s">
        <v>6</v>
      </c>
      <c r="D904" s="1">
        <v>8.0</v>
      </c>
      <c r="E904" s="1" t="s">
        <v>789</v>
      </c>
      <c r="F904" s="1">
        <v>1464110.0</v>
      </c>
    </row>
    <row r="905">
      <c r="A905" s="1">
        <v>903.0</v>
      </c>
      <c r="B905" s="1" t="s">
        <v>11</v>
      </c>
      <c r="C905" s="1" t="s">
        <v>6</v>
      </c>
      <c r="D905" s="1">
        <v>7.0</v>
      </c>
      <c r="E905" s="1" t="s">
        <v>789</v>
      </c>
      <c r="F905" s="1">
        <v>1104293.0</v>
      </c>
    </row>
    <row r="906">
      <c r="A906" s="1">
        <v>904.0</v>
      </c>
      <c r="B906" s="1" t="s">
        <v>29</v>
      </c>
      <c r="C906" s="1" t="s">
        <v>6</v>
      </c>
      <c r="D906" s="1">
        <v>7.0</v>
      </c>
      <c r="E906" s="1" t="s">
        <v>789</v>
      </c>
      <c r="F906" s="1">
        <v>1483132.0</v>
      </c>
    </row>
    <row r="907">
      <c r="A907" s="1">
        <v>905.0</v>
      </c>
      <c r="B907" s="1" t="s">
        <v>176</v>
      </c>
      <c r="C907" s="1" t="s">
        <v>6</v>
      </c>
      <c r="D907" s="1">
        <v>6.0</v>
      </c>
      <c r="E907" s="1" t="s">
        <v>789</v>
      </c>
      <c r="F907" s="1">
        <v>53365.0</v>
      </c>
    </row>
    <row r="908">
      <c r="A908" s="1">
        <v>906.0</v>
      </c>
      <c r="B908" s="1" t="s">
        <v>795</v>
      </c>
      <c r="C908" s="1" t="s">
        <v>6</v>
      </c>
      <c r="D908" s="1">
        <v>6.0</v>
      </c>
      <c r="E908" s="1" t="s">
        <v>789</v>
      </c>
      <c r="F908" s="1">
        <v>1280703.0</v>
      </c>
    </row>
    <row r="909">
      <c r="A909" s="1">
        <v>907.0</v>
      </c>
      <c r="B909" s="1" t="s">
        <v>796</v>
      </c>
      <c r="C909" s="1" t="s">
        <v>6</v>
      </c>
      <c r="D909" s="1">
        <v>6.0</v>
      </c>
      <c r="E909" s="1" t="s">
        <v>789</v>
      </c>
      <c r="F909" s="1">
        <v>594589.0</v>
      </c>
    </row>
    <row r="910">
      <c r="A910" s="1">
        <v>908.0</v>
      </c>
      <c r="B910" s="1" t="s">
        <v>797</v>
      </c>
      <c r="C910" s="1" t="s">
        <v>6</v>
      </c>
      <c r="D910" s="1">
        <v>5.0</v>
      </c>
      <c r="E910" s="1" t="s">
        <v>789</v>
      </c>
      <c r="F910" s="1">
        <v>861434.0</v>
      </c>
    </row>
    <row r="911">
      <c r="A911" s="1">
        <v>909.0</v>
      </c>
      <c r="B911" s="1" t="s">
        <v>798</v>
      </c>
      <c r="C911" s="1" t="s">
        <v>6</v>
      </c>
      <c r="D911" s="1">
        <v>5.0</v>
      </c>
      <c r="E911" s="1" t="s">
        <v>789</v>
      </c>
      <c r="F911" s="1">
        <v>1564421.0</v>
      </c>
    </row>
    <row r="912">
      <c r="A912" s="1">
        <v>910.0</v>
      </c>
      <c r="B912" s="1" t="s">
        <v>581</v>
      </c>
      <c r="C912" s="1" t="s">
        <v>6</v>
      </c>
      <c r="D912" s="1">
        <v>4.0</v>
      </c>
      <c r="E912" s="1" t="s">
        <v>789</v>
      </c>
      <c r="F912" s="1">
        <v>1121437.0</v>
      </c>
    </row>
    <row r="913">
      <c r="A913" s="1">
        <v>911.0</v>
      </c>
      <c r="B913" s="1" t="s">
        <v>230</v>
      </c>
      <c r="C913" s="1" t="s">
        <v>6</v>
      </c>
      <c r="D913" s="1">
        <v>4.0</v>
      </c>
      <c r="E913" s="1" t="s">
        <v>789</v>
      </c>
      <c r="F913" s="1">
        <v>2020386.0</v>
      </c>
    </row>
    <row r="914">
      <c r="A914" s="1">
        <v>912.0</v>
      </c>
      <c r="B914" s="1" t="s">
        <v>799</v>
      </c>
      <c r="C914" s="1" t="s">
        <v>6</v>
      </c>
      <c r="D914" s="1">
        <v>4.0</v>
      </c>
      <c r="E914" s="1" t="s">
        <v>789</v>
      </c>
      <c r="F914" s="1">
        <v>54290.0</v>
      </c>
    </row>
    <row r="915">
      <c r="A915" s="1">
        <v>913.0</v>
      </c>
      <c r="B915" s="1" t="s">
        <v>498</v>
      </c>
      <c r="C915" s="1" t="s">
        <v>6</v>
      </c>
      <c r="D915" s="1">
        <v>4.0</v>
      </c>
      <c r="E915" s="1" t="s">
        <v>789</v>
      </c>
      <c r="F915" s="1">
        <v>56039.0</v>
      </c>
    </row>
    <row r="916">
      <c r="A916" s="1">
        <v>914.0</v>
      </c>
      <c r="B916" s="1" t="s">
        <v>800</v>
      </c>
      <c r="C916" s="1" t="s">
        <v>6</v>
      </c>
      <c r="D916" s="1">
        <v>4.0</v>
      </c>
      <c r="E916" s="1" t="s">
        <v>789</v>
      </c>
      <c r="F916" s="1">
        <v>1944821.0</v>
      </c>
    </row>
    <row r="917">
      <c r="A917" s="1">
        <v>915.0</v>
      </c>
      <c r="B917" s="1" t="s">
        <v>14</v>
      </c>
      <c r="C917" s="1" t="s">
        <v>6</v>
      </c>
      <c r="D917" s="1">
        <v>3.0</v>
      </c>
      <c r="E917" s="1" t="s">
        <v>789</v>
      </c>
      <c r="F917" s="1">
        <v>651206.0</v>
      </c>
    </row>
    <row r="918">
      <c r="A918" s="1">
        <v>916.0</v>
      </c>
      <c r="B918" s="1" t="s">
        <v>380</v>
      </c>
      <c r="C918" s="1" t="s">
        <v>6</v>
      </c>
      <c r="D918" s="1">
        <v>3.0</v>
      </c>
      <c r="E918" s="1" t="s">
        <v>789</v>
      </c>
      <c r="F918" s="1">
        <v>653174.0</v>
      </c>
    </row>
    <row r="919">
      <c r="A919" s="1">
        <v>917.0</v>
      </c>
      <c r="B919" s="1" t="s">
        <v>38</v>
      </c>
      <c r="C919" s="1" t="s">
        <v>6</v>
      </c>
      <c r="D919" s="1">
        <v>3.0</v>
      </c>
      <c r="E919" s="1" t="s">
        <v>789</v>
      </c>
      <c r="F919" s="1">
        <v>1252143.0</v>
      </c>
    </row>
    <row r="920">
      <c r="A920" s="1">
        <v>918.0</v>
      </c>
      <c r="B920" s="1" t="s">
        <v>31</v>
      </c>
      <c r="C920" s="1" t="s">
        <v>6</v>
      </c>
      <c r="D920" s="1">
        <v>3.0</v>
      </c>
      <c r="E920" s="1" t="s">
        <v>789</v>
      </c>
      <c r="F920" s="1">
        <v>53351.0</v>
      </c>
    </row>
    <row r="921">
      <c r="A921" s="1">
        <v>919.0</v>
      </c>
      <c r="B921" s="1" t="s">
        <v>54</v>
      </c>
      <c r="C921" s="1" t="s">
        <v>6</v>
      </c>
      <c r="D921" s="1">
        <v>3.0</v>
      </c>
      <c r="E921" s="1" t="s">
        <v>789</v>
      </c>
      <c r="F921" s="1">
        <v>95.0</v>
      </c>
    </row>
    <row r="922">
      <c r="A922" s="1">
        <v>920.0</v>
      </c>
      <c r="B922" s="1" t="s">
        <v>581</v>
      </c>
      <c r="C922" s="1" t="s">
        <v>6</v>
      </c>
      <c r="D922" s="1">
        <v>3.0</v>
      </c>
      <c r="E922" s="1" t="s">
        <v>789</v>
      </c>
      <c r="F922" s="1">
        <v>411763.0</v>
      </c>
    </row>
    <row r="923">
      <c r="A923" s="1">
        <v>921.0</v>
      </c>
      <c r="B923" s="1" t="s">
        <v>39</v>
      </c>
      <c r="C923" s="1" t="s">
        <v>6</v>
      </c>
      <c r="D923" s="1">
        <v>3.0</v>
      </c>
      <c r="E923" s="1" t="s">
        <v>789</v>
      </c>
      <c r="F923" s="1">
        <v>37173.0</v>
      </c>
    </row>
    <row r="924">
      <c r="A924" s="1">
        <v>922.0</v>
      </c>
      <c r="B924" s="1" t="s">
        <v>202</v>
      </c>
      <c r="C924" s="1" t="s">
        <v>6</v>
      </c>
      <c r="D924" s="1">
        <v>3.0</v>
      </c>
      <c r="E924" s="1" t="s">
        <v>789</v>
      </c>
      <c r="F924" s="1">
        <v>926912.0</v>
      </c>
    </row>
    <row r="925">
      <c r="A925" s="1">
        <v>923.0</v>
      </c>
      <c r="B925" s="1" t="s">
        <v>671</v>
      </c>
      <c r="C925" s="1" t="s">
        <v>6</v>
      </c>
      <c r="D925" s="1">
        <v>3.0</v>
      </c>
      <c r="E925" s="1" t="s">
        <v>789</v>
      </c>
      <c r="F925" s="1">
        <v>1760000.0</v>
      </c>
    </row>
    <row r="926">
      <c r="A926" s="1">
        <v>924.0</v>
      </c>
      <c r="B926" s="1" t="s">
        <v>801</v>
      </c>
      <c r="C926" s="1" t="s">
        <v>6</v>
      </c>
      <c r="D926" s="1">
        <v>3.0</v>
      </c>
      <c r="E926" s="1" t="s">
        <v>789</v>
      </c>
      <c r="F926" s="1">
        <v>353.0</v>
      </c>
    </row>
    <row r="927">
      <c r="A927" s="1">
        <v>925.0</v>
      </c>
      <c r="B927" s="1" t="s">
        <v>547</v>
      </c>
      <c r="C927" s="1" t="s">
        <v>6</v>
      </c>
      <c r="D927" s="1">
        <v>3.0</v>
      </c>
      <c r="E927" s="1" t="s">
        <v>789</v>
      </c>
      <c r="F927" s="1">
        <v>1048242.0</v>
      </c>
    </row>
    <row r="928">
      <c r="A928" s="1">
        <v>926.0</v>
      </c>
      <c r="B928" s="1" t="s">
        <v>802</v>
      </c>
      <c r="C928" s="1" t="s">
        <v>6</v>
      </c>
      <c r="D928" s="1">
        <v>3.0</v>
      </c>
      <c r="E928" s="1" t="s">
        <v>789</v>
      </c>
      <c r="F928" s="1">
        <v>665.0</v>
      </c>
    </row>
    <row r="929">
      <c r="A929" s="1">
        <v>927.0</v>
      </c>
      <c r="B929" s="1" t="s">
        <v>803</v>
      </c>
      <c r="C929" s="1" t="s">
        <v>6</v>
      </c>
      <c r="D929" s="1">
        <v>3.0</v>
      </c>
      <c r="E929" s="1" t="s">
        <v>789</v>
      </c>
      <c r="F929" s="1">
        <v>642113.0</v>
      </c>
    </row>
    <row r="930">
      <c r="A930" s="1">
        <v>928.0</v>
      </c>
      <c r="B930" s="1" t="s">
        <v>59</v>
      </c>
      <c r="C930" s="1" t="s">
        <v>6</v>
      </c>
      <c r="D930" s="1">
        <v>2.0</v>
      </c>
      <c r="E930" s="1" t="s">
        <v>789</v>
      </c>
      <c r="F930" s="1">
        <v>1561319.0</v>
      </c>
    </row>
    <row r="931">
      <c r="A931" s="1">
        <v>929.0</v>
      </c>
      <c r="B931" s="1" t="s">
        <v>176</v>
      </c>
      <c r="C931" s="1" t="s">
        <v>6</v>
      </c>
      <c r="D931" s="1">
        <v>2.0</v>
      </c>
      <c r="E931" s="1" t="s">
        <v>789</v>
      </c>
      <c r="F931" s="1">
        <v>25304.0</v>
      </c>
    </row>
    <row r="932">
      <c r="A932" s="1">
        <v>930.0</v>
      </c>
      <c r="B932" s="1" t="s">
        <v>804</v>
      </c>
      <c r="C932" s="1" t="s">
        <v>6</v>
      </c>
      <c r="D932" s="1">
        <v>2.0</v>
      </c>
      <c r="E932" s="1" t="s">
        <v>789</v>
      </c>
      <c r="F932" s="1">
        <v>304522.0</v>
      </c>
    </row>
    <row r="933">
      <c r="A933" s="1">
        <v>931.0</v>
      </c>
      <c r="B933" s="1" t="s">
        <v>662</v>
      </c>
      <c r="C933" s="1" t="s">
        <v>6</v>
      </c>
      <c r="D933" s="1">
        <v>2.0</v>
      </c>
      <c r="E933" s="1" t="s">
        <v>789</v>
      </c>
      <c r="F933" s="1">
        <v>1287441.0</v>
      </c>
    </row>
    <row r="934">
      <c r="A934" s="1">
        <v>932.0</v>
      </c>
      <c r="B934" s="1" t="s">
        <v>74</v>
      </c>
      <c r="C934" s="1" t="s">
        <v>6</v>
      </c>
      <c r="D934" s="1">
        <v>2.0</v>
      </c>
      <c r="E934" s="1" t="s">
        <v>789</v>
      </c>
      <c r="F934" s="1">
        <v>1152418.0</v>
      </c>
    </row>
    <row r="935">
      <c r="A935" s="1">
        <v>933.0</v>
      </c>
      <c r="B935" s="1" t="s">
        <v>805</v>
      </c>
      <c r="C935" s="1" t="s">
        <v>6</v>
      </c>
      <c r="D935" s="1">
        <v>2.0</v>
      </c>
      <c r="E935" s="1" t="s">
        <v>789</v>
      </c>
      <c r="F935" s="1">
        <v>1260152.0</v>
      </c>
    </row>
    <row r="936">
      <c r="A936" s="1">
        <v>934.0</v>
      </c>
      <c r="B936" s="1" t="s">
        <v>806</v>
      </c>
      <c r="C936" s="1" t="s">
        <v>6</v>
      </c>
      <c r="D936" s="1">
        <v>2.0</v>
      </c>
      <c r="E936" s="1" t="s">
        <v>789</v>
      </c>
      <c r="F936" s="1">
        <v>433223.0</v>
      </c>
    </row>
    <row r="937">
      <c r="A937" s="1">
        <v>935.0</v>
      </c>
      <c r="B937" s="1" t="s">
        <v>807</v>
      </c>
      <c r="C937" s="1" t="s">
        <v>6</v>
      </c>
      <c r="D937" s="1">
        <v>2.0</v>
      </c>
      <c r="E937" s="1" t="s">
        <v>789</v>
      </c>
      <c r="F937" s="1">
        <v>95.0</v>
      </c>
    </row>
    <row r="938">
      <c r="A938" s="1">
        <v>936.0</v>
      </c>
      <c r="B938" s="1" t="s">
        <v>808</v>
      </c>
      <c r="C938" s="1" t="s">
        <v>6</v>
      </c>
      <c r="D938" s="1">
        <v>2.0</v>
      </c>
      <c r="E938" s="1" t="s">
        <v>789</v>
      </c>
      <c r="F938" s="1">
        <v>1607926.0</v>
      </c>
    </row>
    <row r="939">
      <c r="A939" s="1">
        <v>937.0</v>
      </c>
      <c r="B939" s="1" t="s">
        <v>182</v>
      </c>
      <c r="C939" s="1" t="s">
        <v>6</v>
      </c>
      <c r="D939" s="1">
        <v>2.0</v>
      </c>
      <c r="E939" s="1" t="s">
        <v>789</v>
      </c>
      <c r="F939" s="1">
        <v>778902.0</v>
      </c>
    </row>
    <row r="940">
      <c r="A940" s="1">
        <v>938.0</v>
      </c>
      <c r="B940" s="1" t="s">
        <v>809</v>
      </c>
      <c r="C940" s="1" t="s">
        <v>6</v>
      </c>
      <c r="D940" s="1">
        <v>2.0</v>
      </c>
      <c r="E940" s="1" t="s">
        <v>789</v>
      </c>
      <c r="F940" s="1">
        <v>777837.0</v>
      </c>
    </row>
    <row r="941">
      <c r="A941" s="1">
        <v>939.0</v>
      </c>
      <c r="B941" s="1" t="s">
        <v>810</v>
      </c>
      <c r="C941" s="1" t="s">
        <v>6</v>
      </c>
      <c r="D941" s="1">
        <v>2.0</v>
      </c>
      <c r="E941" s="1" t="s">
        <v>789</v>
      </c>
      <c r="F941" s="1">
        <v>1492543.0</v>
      </c>
    </row>
    <row r="942">
      <c r="A942" s="1">
        <v>940.0</v>
      </c>
      <c r="B942" s="1" t="s">
        <v>811</v>
      </c>
      <c r="C942" s="1" t="s">
        <v>6</v>
      </c>
      <c r="D942" s="1">
        <v>2.0</v>
      </c>
      <c r="E942" s="1" t="s">
        <v>789</v>
      </c>
      <c r="F942" s="1">
        <v>452130.0</v>
      </c>
    </row>
    <row r="943">
      <c r="A943" s="1">
        <v>941.0</v>
      </c>
      <c r="B943" s="1" t="s">
        <v>812</v>
      </c>
      <c r="C943" s="1" t="s">
        <v>6</v>
      </c>
      <c r="D943" s="1">
        <v>2.0</v>
      </c>
      <c r="E943" s="1" t="s">
        <v>789</v>
      </c>
      <c r="F943" s="1">
        <v>1269639.0</v>
      </c>
    </row>
    <row r="944">
      <c r="A944" s="1">
        <v>942.0</v>
      </c>
      <c r="B944" s="1" t="s">
        <v>813</v>
      </c>
      <c r="C944" s="1" t="s">
        <v>6</v>
      </c>
      <c r="D944" s="1">
        <v>2.0</v>
      </c>
      <c r="E944" s="1" t="s">
        <v>789</v>
      </c>
      <c r="F944" s="1">
        <v>823971.0</v>
      </c>
    </row>
    <row r="945">
      <c r="A945" s="1">
        <v>943.0</v>
      </c>
      <c r="B945" s="1" t="s">
        <v>814</v>
      </c>
      <c r="C945" s="1" t="s">
        <v>6</v>
      </c>
      <c r="D945" s="1">
        <v>2.0</v>
      </c>
      <c r="E945" s="1" t="s">
        <v>789</v>
      </c>
      <c r="F945" s="1">
        <v>1100233.0</v>
      </c>
    </row>
    <row r="946">
      <c r="A946" s="1">
        <v>944.0</v>
      </c>
      <c r="B946" s="1" t="s">
        <v>815</v>
      </c>
      <c r="C946" s="1" t="s">
        <v>6</v>
      </c>
      <c r="D946" s="1">
        <v>2.0</v>
      </c>
      <c r="E946" s="1" t="s">
        <v>789</v>
      </c>
      <c r="F946" s="1">
        <v>650865.0</v>
      </c>
    </row>
    <row r="947">
      <c r="A947" s="1">
        <v>945.0</v>
      </c>
      <c r="B947" s="1" t="s">
        <v>816</v>
      </c>
      <c r="C947" s="1" t="s">
        <v>6</v>
      </c>
      <c r="D947" s="1">
        <v>2.0</v>
      </c>
      <c r="E947" s="1" t="s">
        <v>789</v>
      </c>
      <c r="F947" s="1">
        <v>335625.0</v>
      </c>
    </row>
    <row r="948">
      <c r="A948" s="1">
        <v>946.0</v>
      </c>
      <c r="B948" s="1" t="s">
        <v>424</v>
      </c>
      <c r="C948" s="1" t="s">
        <v>6</v>
      </c>
      <c r="D948" s="1">
        <v>2.0</v>
      </c>
      <c r="E948" s="1" t="s">
        <v>789</v>
      </c>
      <c r="F948" s="1">
        <v>9392.0</v>
      </c>
    </row>
    <row r="949">
      <c r="A949" s="1">
        <v>947.0</v>
      </c>
      <c r="B949" s="1" t="s">
        <v>424</v>
      </c>
      <c r="C949" s="1" t="s">
        <v>6</v>
      </c>
      <c r="D949" s="1">
        <v>2.0</v>
      </c>
      <c r="E949" s="1" t="s">
        <v>789</v>
      </c>
      <c r="F949" s="1">
        <v>1157086.0</v>
      </c>
    </row>
    <row r="950">
      <c r="A950" s="1">
        <v>948.0</v>
      </c>
      <c r="B950" s="1" t="s">
        <v>817</v>
      </c>
      <c r="C950" s="1" t="s">
        <v>6</v>
      </c>
      <c r="D950" s="1">
        <v>2.0</v>
      </c>
      <c r="E950" s="1" t="s">
        <v>789</v>
      </c>
      <c r="F950" s="1">
        <v>65953.0</v>
      </c>
    </row>
    <row r="951">
      <c r="A951" s="1">
        <v>949.0</v>
      </c>
      <c r="B951" s="1" t="s">
        <v>818</v>
      </c>
      <c r="C951" s="1" t="s">
        <v>6</v>
      </c>
      <c r="D951" s="1">
        <v>2.0</v>
      </c>
      <c r="E951" s="1" t="s">
        <v>789</v>
      </c>
      <c r="F951" s="1">
        <v>725664.0</v>
      </c>
    </row>
    <row r="952">
      <c r="A952" s="1">
        <v>950.0</v>
      </c>
      <c r="B952" s="1" t="s">
        <v>819</v>
      </c>
      <c r="C952" s="1" t="s">
        <v>6</v>
      </c>
      <c r="D952" s="1">
        <v>2.0</v>
      </c>
      <c r="E952" s="1" t="s">
        <v>789</v>
      </c>
      <c r="F952" s="1">
        <v>702649.0</v>
      </c>
    </row>
    <row r="953">
      <c r="A953" s="1">
        <v>951.0</v>
      </c>
      <c r="B953" s="1" t="s">
        <v>820</v>
      </c>
      <c r="C953" s="1" t="s">
        <v>6</v>
      </c>
      <c r="D953" s="1">
        <v>2.0</v>
      </c>
      <c r="E953" s="1" t="s">
        <v>789</v>
      </c>
      <c r="F953" s="1">
        <v>89047.0</v>
      </c>
    </row>
    <row r="954">
      <c r="A954" s="1">
        <v>952.0</v>
      </c>
      <c r="B954" s="1" t="s">
        <v>821</v>
      </c>
      <c r="C954" s="1" t="s">
        <v>6</v>
      </c>
      <c r="D954" s="1">
        <v>2.0</v>
      </c>
      <c r="E954" s="1" t="s">
        <v>789</v>
      </c>
      <c r="F954" s="1">
        <v>792139.0</v>
      </c>
    </row>
    <row r="955">
      <c r="A955" s="1">
        <v>953.0</v>
      </c>
      <c r="B955" s="1" t="s">
        <v>822</v>
      </c>
      <c r="C955" s="1" t="s">
        <v>6</v>
      </c>
      <c r="D955" s="1">
        <v>2.0</v>
      </c>
      <c r="E955" s="1" t="s">
        <v>789</v>
      </c>
      <c r="F955" s="1">
        <v>646889.0</v>
      </c>
    </row>
    <row r="956">
      <c r="A956" s="1">
        <v>954.0</v>
      </c>
      <c r="B956" s="1" t="s">
        <v>823</v>
      </c>
      <c r="C956" s="1" t="s">
        <v>6</v>
      </c>
      <c r="D956" s="1">
        <v>2.0</v>
      </c>
      <c r="E956" s="1" t="s">
        <v>789</v>
      </c>
      <c r="F956" s="1">
        <v>700977.0</v>
      </c>
    </row>
    <row r="957">
      <c r="A957" s="1">
        <v>955.0</v>
      </c>
      <c r="B957" s="1" t="s">
        <v>824</v>
      </c>
      <c r="C957" s="1" t="s">
        <v>6</v>
      </c>
      <c r="D957" s="1">
        <v>2.0</v>
      </c>
      <c r="E957" s="1" t="s">
        <v>789</v>
      </c>
      <c r="F957" s="1">
        <v>376159.0</v>
      </c>
    </row>
    <row r="958">
      <c r="A958" s="1">
        <v>956.0</v>
      </c>
      <c r="B958" s="1" t="s">
        <v>825</v>
      </c>
      <c r="C958" s="1" t="s">
        <v>6</v>
      </c>
      <c r="D958" s="1">
        <v>2.0</v>
      </c>
      <c r="E958" s="1" t="s">
        <v>789</v>
      </c>
      <c r="F958" s="1">
        <v>1492959.0</v>
      </c>
    </row>
    <row r="959">
      <c r="A959" s="1">
        <v>957.0</v>
      </c>
      <c r="B959" s="1" t="s">
        <v>826</v>
      </c>
      <c r="C959" s="1" t="s">
        <v>6</v>
      </c>
      <c r="D959" s="1">
        <v>2.0</v>
      </c>
      <c r="E959" s="1" t="s">
        <v>789</v>
      </c>
      <c r="F959" s="1">
        <v>778644.0</v>
      </c>
    </row>
    <row r="960">
      <c r="A960" s="1">
        <v>958.0</v>
      </c>
      <c r="B960" s="1" t="s">
        <v>827</v>
      </c>
      <c r="C960" s="1" t="s">
        <v>6</v>
      </c>
      <c r="D960" s="1">
        <v>2.0</v>
      </c>
      <c r="E960" s="1" t="s">
        <v>789</v>
      </c>
      <c r="F960" s="1">
        <v>13255.0</v>
      </c>
    </row>
    <row r="961">
      <c r="A961" s="1">
        <v>959.0</v>
      </c>
      <c r="B961" s="1" t="s">
        <v>828</v>
      </c>
      <c r="C961" s="1" t="s">
        <v>6</v>
      </c>
      <c r="D961" s="1">
        <v>2.0</v>
      </c>
      <c r="E961" s="1" t="s">
        <v>789</v>
      </c>
      <c r="F961" s="1">
        <v>85.0</v>
      </c>
    </row>
    <row r="962">
      <c r="A962" s="1">
        <v>960.0</v>
      </c>
      <c r="B962" s="1" t="s">
        <v>829</v>
      </c>
      <c r="C962" s="1" t="s">
        <v>6</v>
      </c>
      <c r="D962" s="1">
        <v>2.0</v>
      </c>
      <c r="E962" s="1" t="s">
        <v>789</v>
      </c>
      <c r="F962" s="1">
        <v>619995.0</v>
      </c>
    </row>
    <row r="963">
      <c r="A963" s="1">
        <v>961.0</v>
      </c>
      <c r="B963" s="1" t="s">
        <v>830</v>
      </c>
      <c r="C963" s="1" t="s">
        <v>6</v>
      </c>
      <c r="D963" s="1">
        <v>2.0</v>
      </c>
      <c r="E963" s="1" t="s">
        <v>789</v>
      </c>
      <c r="F963" s="1">
        <v>4949704.0</v>
      </c>
    </row>
    <row r="964">
      <c r="A964" s="1">
        <v>962.0</v>
      </c>
      <c r="B964" s="1" t="s">
        <v>831</v>
      </c>
      <c r="C964" s="1" t="s">
        <v>6</v>
      </c>
      <c r="D964" s="1">
        <v>2.0</v>
      </c>
      <c r="E964" s="1" t="s">
        <v>789</v>
      </c>
      <c r="F964" s="1">
        <v>787723.0</v>
      </c>
    </row>
    <row r="965">
      <c r="A965" s="1">
        <v>963.0</v>
      </c>
      <c r="B965" s="1" t="s">
        <v>832</v>
      </c>
      <c r="C965" s="1" t="s">
        <v>6</v>
      </c>
      <c r="D965" s="1">
        <v>2.0</v>
      </c>
      <c r="E965" s="1" t="s">
        <v>789</v>
      </c>
      <c r="F965" s="1">
        <v>58648.0</v>
      </c>
    </row>
    <row r="966">
      <c r="A966" s="1">
        <v>964.0</v>
      </c>
      <c r="B966" s="1" t="s">
        <v>833</v>
      </c>
      <c r="C966" s="1" t="s">
        <v>6</v>
      </c>
      <c r="D966" s="1">
        <v>2.0</v>
      </c>
      <c r="E966" s="1" t="s">
        <v>789</v>
      </c>
      <c r="F966" s="1">
        <v>792506.0</v>
      </c>
    </row>
    <row r="967">
      <c r="A967" s="1">
        <v>965.0</v>
      </c>
      <c r="B967" s="1" t="s">
        <v>834</v>
      </c>
      <c r="C967" s="1" t="s">
        <v>6</v>
      </c>
      <c r="D967" s="1">
        <v>2.0</v>
      </c>
      <c r="E967" s="1" t="s">
        <v>789</v>
      </c>
      <c r="F967" s="1">
        <v>25204.0</v>
      </c>
    </row>
    <row r="968">
      <c r="A968" s="1">
        <v>966.0</v>
      </c>
      <c r="B968" s="1" t="s">
        <v>9</v>
      </c>
      <c r="C968" s="1" t="s">
        <v>6</v>
      </c>
      <c r="D968" s="1">
        <v>1.0</v>
      </c>
      <c r="E968" s="1" t="s">
        <v>789</v>
      </c>
      <c r="F968" s="1">
        <v>665229.0</v>
      </c>
    </row>
    <row r="969">
      <c r="A969" s="1">
        <v>967.0</v>
      </c>
      <c r="B969" s="1" t="s">
        <v>11</v>
      </c>
      <c r="C969" s="1" t="s">
        <v>6</v>
      </c>
      <c r="D969" s="1">
        <v>1.0</v>
      </c>
      <c r="E969" s="1" t="s">
        <v>789</v>
      </c>
      <c r="F969" s="1">
        <v>122633.0</v>
      </c>
    </row>
    <row r="970">
      <c r="A970" s="1">
        <v>968.0</v>
      </c>
      <c r="B970" s="1" t="s">
        <v>116</v>
      </c>
      <c r="C970" s="1" t="s">
        <v>6</v>
      </c>
      <c r="D970" s="1">
        <v>1.0</v>
      </c>
      <c r="E970" s="1" t="s">
        <v>789</v>
      </c>
      <c r="F970" s="1">
        <v>105.0</v>
      </c>
    </row>
    <row r="971">
      <c r="A971" s="1">
        <v>969.0</v>
      </c>
      <c r="B971" s="1" t="s">
        <v>581</v>
      </c>
      <c r="C971" s="1" t="s">
        <v>6</v>
      </c>
      <c r="D971" s="1">
        <v>1.0</v>
      </c>
      <c r="E971" s="1" t="s">
        <v>789</v>
      </c>
      <c r="F971" s="1">
        <v>1243165.0</v>
      </c>
    </row>
    <row r="972">
      <c r="A972" s="1">
        <v>970.0</v>
      </c>
      <c r="B972" s="1" t="s">
        <v>40</v>
      </c>
      <c r="C972" s="1" t="s">
        <v>6</v>
      </c>
      <c r="D972" s="1">
        <v>1.0</v>
      </c>
      <c r="E972" s="1" t="s">
        <v>789</v>
      </c>
      <c r="F972" s="1">
        <v>1653407.0</v>
      </c>
    </row>
    <row r="973">
      <c r="A973" s="1">
        <v>971.0</v>
      </c>
      <c r="B973" s="1" t="s">
        <v>530</v>
      </c>
      <c r="C973" s="1" t="s">
        <v>6</v>
      </c>
      <c r="D973" s="1">
        <v>1.0</v>
      </c>
      <c r="E973" s="1" t="s">
        <v>789</v>
      </c>
      <c r="F973" s="1">
        <v>52.0</v>
      </c>
    </row>
    <row r="974">
      <c r="A974" s="1">
        <v>972.0</v>
      </c>
      <c r="B974" s="1" t="s">
        <v>835</v>
      </c>
      <c r="C974" s="1" t="s">
        <v>6</v>
      </c>
      <c r="D974" s="1">
        <v>1.0</v>
      </c>
      <c r="E974" s="1" t="s">
        <v>789</v>
      </c>
      <c r="F974" s="1">
        <v>426187.0</v>
      </c>
    </row>
    <row r="975">
      <c r="A975" s="1">
        <v>973.0</v>
      </c>
      <c r="B975" s="1" t="s">
        <v>104</v>
      </c>
      <c r="C975" s="1" t="s">
        <v>6</v>
      </c>
      <c r="D975" s="1">
        <v>1.0</v>
      </c>
      <c r="E975" s="1" t="s">
        <v>789</v>
      </c>
      <c r="F975" s="1">
        <v>499996.0</v>
      </c>
    </row>
    <row r="976">
      <c r="A976" s="1">
        <v>974.0</v>
      </c>
      <c r="B976" s="1" t="s">
        <v>836</v>
      </c>
      <c r="C976" s="1" t="s">
        <v>6</v>
      </c>
      <c r="D976" s="1">
        <v>1.0</v>
      </c>
      <c r="E976" s="1" t="s">
        <v>789</v>
      </c>
      <c r="F976" s="1">
        <v>1159476.0</v>
      </c>
    </row>
    <row r="977">
      <c r="A977" s="1">
        <v>975.0</v>
      </c>
      <c r="B977" s="1" t="s">
        <v>202</v>
      </c>
      <c r="C977" s="1" t="s">
        <v>6</v>
      </c>
      <c r="D977" s="1">
        <v>1.0</v>
      </c>
      <c r="E977" s="1" t="s">
        <v>789</v>
      </c>
      <c r="F977" s="1">
        <v>220739.0</v>
      </c>
    </row>
    <row r="978">
      <c r="A978" s="1">
        <v>976.0</v>
      </c>
      <c r="B978" s="1" t="s">
        <v>837</v>
      </c>
      <c r="C978" s="1" t="s">
        <v>6</v>
      </c>
      <c r="D978" s="1">
        <v>1.0</v>
      </c>
      <c r="E978" s="1" t="s">
        <v>789</v>
      </c>
      <c r="F978" s="1">
        <v>1285125.0</v>
      </c>
    </row>
    <row r="979">
      <c r="A979" s="1">
        <v>977.0</v>
      </c>
      <c r="B979" s="1" t="s">
        <v>838</v>
      </c>
      <c r="C979" s="1" t="s">
        <v>6</v>
      </c>
      <c r="D979" s="1">
        <v>1.0</v>
      </c>
      <c r="E979" s="1" t="s">
        <v>789</v>
      </c>
      <c r="F979" s="1">
        <v>91.0</v>
      </c>
    </row>
    <row r="980">
      <c r="A980" s="1">
        <v>978.0</v>
      </c>
      <c r="B980" s="1" t="s">
        <v>839</v>
      </c>
      <c r="C980" s="1" t="s">
        <v>6</v>
      </c>
      <c r="D980" s="1">
        <v>1.0</v>
      </c>
      <c r="E980" s="1" t="s">
        <v>789</v>
      </c>
      <c r="F980" s="1">
        <v>110537.0</v>
      </c>
    </row>
    <row r="981">
      <c r="A981" s="1">
        <v>979.0</v>
      </c>
      <c r="B981" s="1" t="s">
        <v>840</v>
      </c>
      <c r="C981" s="1" t="s">
        <v>6</v>
      </c>
      <c r="D981" s="1">
        <v>1.0</v>
      </c>
      <c r="E981" s="1" t="s">
        <v>789</v>
      </c>
      <c r="F981" s="1">
        <v>2567346.0</v>
      </c>
    </row>
    <row r="982">
      <c r="A982" s="1">
        <v>980.0</v>
      </c>
      <c r="B982" s="1" t="s">
        <v>841</v>
      </c>
      <c r="C982" s="1" t="s">
        <v>6</v>
      </c>
      <c r="D982" s="1">
        <v>1.0</v>
      </c>
      <c r="E982" s="1" t="s">
        <v>789</v>
      </c>
      <c r="F982" s="1">
        <v>832.0</v>
      </c>
    </row>
    <row r="983">
      <c r="A983" s="1">
        <v>981.0</v>
      </c>
      <c r="B983" s="1" t="s">
        <v>46</v>
      </c>
      <c r="C983" s="1" t="s">
        <v>6</v>
      </c>
      <c r="D983" s="1">
        <v>1.0</v>
      </c>
      <c r="E983" s="1" t="s">
        <v>789</v>
      </c>
      <c r="F983" s="1">
        <v>1394897.0</v>
      </c>
    </row>
    <row r="984">
      <c r="A984" s="1">
        <v>982.0</v>
      </c>
      <c r="B984" s="1" t="s">
        <v>795</v>
      </c>
      <c r="C984" s="1" t="s">
        <v>6</v>
      </c>
      <c r="D984" s="1">
        <v>1.0</v>
      </c>
      <c r="E984" s="1" t="s">
        <v>789</v>
      </c>
      <c r="F984" s="1">
        <v>26548.0</v>
      </c>
    </row>
    <row r="985">
      <c r="A985" s="1">
        <v>983.0</v>
      </c>
      <c r="B985" s="1" t="s">
        <v>842</v>
      </c>
      <c r="C985" s="1" t="s">
        <v>6</v>
      </c>
      <c r="D985" s="1">
        <v>1.0</v>
      </c>
      <c r="E985" s="1" t="s">
        <v>789</v>
      </c>
      <c r="F985" s="1">
        <v>346152.0</v>
      </c>
    </row>
    <row r="986">
      <c r="A986" s="1">
        <v>984.0</v>
      </c>
      <c r="B986" s="1" t="s">
        <v>843</v>
      </c>
      <c r="C986" s="1" t="s">
        <v>6</v>
      </c>
      <c r="D986" s="1">
        <v>1.0</v>
      </c>
      <c r="E986" s="1" t="s">
        <v>789</v>
      </c>
      <c r="F986" s="1">
        <v>11.0</v>
      </c>
    </row>
    <row r="987">
      <c r="A987" s="1">
        <v>985.0</v>
      </c>
      <c r="B987" s="1" t="s">
        <v>844</v>
      </c>
      <c r="C987" s="1" t="s">
        <v>6</v>
      </c>
      <c r="D987" s="1">
        <v>1.0</v>
      </c>
      <c r="E987" s="1" t="s">
        <v>789</v>
      </c>
      <c r="F987" s="1">
        <v>1668775.0</v>
      </c>
    </row>
    <row r="988">
      <c r="A988" s="1">
        <v>986.0</v>
      </c>
      <c r="B988" s="1" t="s">
        <v>845</v>
      </c>
      <c r="C988" s="1" t="s">
        <v>6</v>
      </c>
      <c r="D988" s="1">
        <v>1.0</v>
      </c>
      <c r="E988" s="1" t="s">
        <v>789</v>
      </c>
      <c r="F988" s="1">
        <v>894447.0</v>
      </c>
    </row>
    <row r="989">
      <c r="A989" s="1">
        <v>987.0</v>
      </c>
      <c r="B989" s="1" t="s">
        <v>846</v>
      </c>
      <c r="C989" s="1" t="s">
        <v>6</v>
      </c>
      <c r="D989" s="1">
        <v>1.0</v>
      </c>
      <c r="E989" s="1" t="s">
        <v>789</v>
      </c>
      <c r="F989" s="1">
        <v>832.0</v>
      </c>
    </row>
    <row r="990">
      <c r="A990" s="1">
        <v>988.0</v>
      </c>
      <c r="B990" s="1" t="s">
        <v>846</v>
      </c>
      <c r="C990" s="1" t="s">
        <v>6</v>
      </c>
      <c r="D990" s="1">
        <v>1.0</v>
      </c>
      <c r="E990" s="1" t="s">
        <v>789</v>
      </c>
      <c r="F990" s="1">
        <v>160859.0</v>
      </c>
    </row>
    <row r="991">
      <c r="A991" s="1">
        <v>989.0</v>
      </c>
      <c r="B991" s="5" t="s">
        <v>847</v>
      </c>
      <c r="C991" s="1" t="s">
        <v>6</v>
      </c>
      <c r="D991" s="1">
        <v>1.0</v>
      </c>
      <c r="E991" s="1" t="s">
        <v>789</v>
      </c>
      <c r="F991" s="1">
        <v>1857397.0</v>
      </c>
    </row>
    <row r="992">
      <c r="A992" s="1">
        <v>990.0</v>
      </c>
      <c r="B992" s="1" t="s">
        <v>807</v>
      </c>
      <c r="C992" s="1" t="s">
        <v>6</v>
      </c>
      <c r="D992" s="1">
        <v>1.0</v>
      </c>
      <c r="E992" s="1" t="s">
        <v>789</v>
      </c>
      <c r="F992" s="1">
        <v>60539.0</v>
      </c>
    </row>
    <row r="993">
      <c r="A993" s="1">
        <v>991.0</v>
      </c>
      <c r="B993" s="1" t="s">
        <v>848</v>
      </c>
      <c r="C993" s="1" t="s">
        <v>6</v>
      </c>
      <c r="D993" s="1">
        <v>1.0</v>
      </c>
      <c r="E993" s="1" t="s">
        <v>789</v>
      </c>
      <c r="F993" s="1">
        <v>34.0</v>
      </c>
    </row>
    <row r="994">
      <c r="A994" s="1">
        <v>992.0</v>
      </c>
      <c r="B994" s="1" t="s">
        <v>849</v>
      </c>
      <c r="C994" s="1" t="s">
        <v>6</v>
      </c>
      <c r="D994" s="1">
        <v>1.0</v>
      </c>
      <c r="E994" s="1" t="s">
        <v>789</v>
      </c>
      <c r="F994" s="1">
        <v>171568.0</v>
      </c>
    </row>
    <row r="995">
      <c r="A995" s="1">
        <v>993.0</v>
      </c>
      <c r="B995" s="1" t="s">
        <v>850</v>
      </c>
      <c r="C995" s="1" t="s">
        <v>6</v>
      </c>
      <c r="D995" s="1">
        <v>1.0</v>
      </c>
      <c r="E995" s="1" t="s">
        <v>789</v>
      </c>
      <c r="F995" s="1">
        <v>1999352.0</v>
      </c>
    </row>
    <row r="996">
      <c r="A996" s="1">
        <v>994.0</v>
      </c>
      <c r="B996" s="1" t="s">
        <v>163</v>
      </c>
      <c r="C996" s="1" t="s">
        <v>6</v>
      </c>
      <c r="D996" s="1">
        <v>1.0</v>
      </c>
      <c r="E996" s="1" t="s">
        <v>789</v>
      </c>
      <c r="F996" s="1">
        <v>884017.0</v>
      </c>
    </row>
    <row r="997">
      <c r="A997" s="1">
        <v>995.0</v>
      </c>
      <c r="B997" s="1" t="s">
        <v>851</v>
      </c>
      <c r="C997" s="1" t="s">
        <v>6</v>
      </c>
      <c r="D997" s="1">
        <v>1.0</v>
      </c>
      <c r="E997" s="1" t="s">
        <v>789</v>
      </c>
      <c r="F997" s="1">
        <v>842588.0</v>
      </c>
    </row>
    <row r="998">
      <c r="A998" s="1">
        <v>996.0</v>
      </c>
      <c r="B998" s="1" t="s">
        <v>852</v>
      </c>
      <c r="C998" s="1" t="s">
        <v>6</v>
      </c>
      <c r="D998" s="1">
        <v>1.0</v>
      </c>
      <c r="E998" s="1" t="s">
        <v>789</v>
      </c>
      <c r="F998" s="1">
        <v>1773010.0</v>
      </c>
    </row>
    <row r="999">
      <c r="A999" s="1">
        <v>997.0</v>
      </c>
      <c r="B999" s="1" t="s">
        <v>639</v>
      </c>
      <c r="C999" s="1" t="s">
        <v>6</v>
      </c>
      <c r="D999" s="1">
        <v>1.0</v>
      </c>
      <c r="E999" s="1" t="s">
        <v>789</v>
      </c>
      <c r="F999" s="1">
        <v>6.0</v>
      </c>
    </row>
    <row r="1000">
      <c r="A1000" s="1">
        <v>998.0</v>
      </c>
      <c r="B1000" s="1" t="s">
        <v>853</v>
      </c>
      <c r="C1000" s="1" t="s">
        <v>6</v>
      </c>
      <c r="D1000" s="1">
        <v>1.0</v>
      </c>
      <c r="E1000" s="1" t="s">
        <v>789</v>
      </c>
      <c r="F1000" s="1">
        <v>413352.0</v>
      </c>
    </row>
    <row r="1001">
      <c r="A1001" s="1">
        <v>999.0</v>
      </c>
      <c r="B1001" s="1" t="s">
        <v>796</v>
      </c>
      <c r="C1001" s="1" t="s">
        <v>6</v>
      </c>
      <c r="D1001" s="1">
        <v>1.0</v>
      </c>
      <c r="E1001" s="1" t="s">
        <v>789</v>
      </c>
      <c r="F1001" s="1">
        <v>14507.0</v>
      </c>
    </row>
    <row r="1002">
      <c r="A1002" s="1">
        <v>1000.0</v>
      </c>
      <c r="B1002" s="1" t="s">
        <v>854</v>
      </c>
      <c r="C1002" s="1" t="s">
        <v>6</v>
      </c>
      <c r="D1002" s="1">
        <v>1.0</v>
      </c>
      <c r="E1002" s="1" t="s">
        <v>789</v>
      </c>
      <c r="F1002" s="1">
        <v>2611178.0</v>
      </c>
    </row>
    <row r="1003">
      <c r="A1003" s="1">
        <v>1001.0</v>
      </c>
      <c r="B1003" s="1" t="s">
        <v>855</v>
      </c>
      <c r="C1003" s="1" t="s">
        <v>6</v>
      </c>
      <c r="D1003" s="1">
        <v>1.0</v>
      </c>
      <c r="E1003" s="1" t="s">
        <v>789</v>
      </c>
      <c r="F1003" s="1">
        <v>37271.0</v>
      </c>
    </row>
    <row r="1004">
      <c r="A1004" s="1">
        <v>1002.0</v>
      </c>
      <c r="B1004" s="1" t="s">
        <v>856</v>
      </c>
      <c r="C1004" s="1" t="s">
        <v>6</v>
      </c>
      <c r="D1004" s="1">
        <v>1.0</v>
      </c>
      <c r="E1004" s="1" t="s">
        <v>789</v>
      </c>
      <c r="F1004" s="1">
        <v>939649.0</v>
      </c>
    </row>
    <row r="1005">
      <c r="A1005" s="1">
        <v>1003.0</v>
      </c>
      <c r="B1005" s="1" t="s">
        <v>857</v>
      </c>
      <c r="C1005" s="1" t="s">
        <v>6</v>
      </c>
      <c r="D1005" s="1">
        <v>1.0</v>
      </c>
      <c r="E1005" s="1" t="s">
        <v>789</v>
      </c>
      <c r="F1005" s="1">
        <v>889188.0</v>
      </c>
    </row>
    <row r="1006">
      <c r="A1006" s="1">
        <v>1004.0</v>
      </c>
      <c r="B1006" s="1" t="s">
        <v>858</v>
      </c>
      <c r="C1006" s="1" t="s">
        <v>6</v>
      </c>
      <c r="D1006" s="1">
        <v>1.0</v>
      </c>
      <c r="E1006" s="1" t="s">
        <v>789</v>
      </c>
      <c r="F1006" s="1">
        <v>1205860.0</v>
      </c>
    </row>
    <row r="1007">
      <c r="A1007" s="1">
        <v>1005.0</v>
      </c>
      <c r="B1007" s="1" t="s">
        <v>859</v>
      </c>
      <c r="C1007" s="1" t="s">
        <v>6</v>
      </c>
      <c r="D1007" s="1">
        <v>1.0</v>
      </c>
      <c r="E1007" s="1" t="s">
        <v>789</v>
      </c>
      <c r="F1007" s="1">
        <v>49768.0</v>
      </c>
    </row>
    <row r="1008">
      <c r="A1008" s="1">
        <v>1006.0</v>
      </c>
      <c r="B1008" s="1" t="s">
        <v>860</v>
      </c>
      <c r="C1008" s="1" t="s">
        <v>6</v>
      </c>
      <c r="D1008" s="1">
        <v>1.0</v>
      </c>
      <c r="E1008" s="1" t="s">
        <v>789</v>
      </c>
      <c r="F1008" s="1">
        <v>1628949.0</v>
      </c>
    </row>
    <row r="1009">
      <c r="A1009" s="1">
        <v>1007.0</v>
      </c>
      <c r="B1009" s="1" t="s">
        <v>861</v>
      </c>
      <c r="C1009" s="1" t="s">
        <v>6</v>
      </c>
      <c r="D1009" s="1">
        <v>1.0</v>
      </c>
      <c r="E1009" s="1" t="s">
        <v>789</v>
      </c>
      <c r="F1009" s="1">
        <v>371.0</v>
      </c>
    </row>
    <row r="1010">
      <c r="A1010" s="1">
        <v>1008.0</v>
      </c>
      <c r="B1010" s="1" t="s">
        <v>862</v>
      </c>
      <c r="C1010" s="1" t="s">
        <v>6</v>
      </c>
      <c r="D1010" s="1">
        <v>1.0</v>
      </c>
      <c r="E1010" s="1" t="s">
        <v>789</v>
      </c>
      <c r="F1010" s="1">
        <v>62158.0</v>
      </c>
    </row>
    <row r="1011">
      <c r="A1011" s="1">
        <v>1009.0</v>
      </c>
      <c r="B1011" s="1" t="s">
        <v>863</v>
      </c>
      <c r="C1011" s="1" t="s">
        <v>6</v>
      </c>
      <c r="D1011" s="1">
        <v>1.0</v>
      </c>
      <c r="E1011" s="1" t="s">
        <v>789</v>
      </c>
      <c r="F1011" s="1">
        <v>1355831.0</v>
      </c>
    </row>
    <row r="1012">
      <c r="A1012" s="1">
        <v>1010.0</v>
      </c>
      <c r="B1012" s="1" t="s">
        <v>156</v>
      </c>
      <c r="C1012" s="1" t="s">
        <v>6</v>
      </c>
      <c r="D1012" s="1">
        <v>1.0</v>
      </c>
      <c r="E1012" s="1" t="s">
        <v>789</v>
      </c>
      <c r="F1012" s="1">
        <v>45220.0</v>
      </c>
    </row>
    <row r="1013">
      <c r="A1013" s="1">
        <v>1011.0</v>
      </c>
      <c r="B1013" s="1" t="s">
        <v>864</v>
      </c>
      <c r="C1013" s="1" t="s">
        <v>6</v>
      </c>
      <c r="D1013" s="1">
        <v>1.0</v>
      </c>
      <c r="E1013" s="1" t="s">
        <v>789</v>
      </c>
      <c r="F1013" s="1">
        <v>352567.0</v>
      </c>
    </row>
    <row r="1014">
      <c r="A1014" s="1">
        <v>1012.0</v>
      </c>
      <c r="B1014" s="1" t="s">
        <v>865</v>
      </c>
      <c r="C1014" s="1" t="s">
        <v>6</v>
      </c>
      <c r="D1014" s="1">
        <v>1.0</v>
      </c>
      <c r="E1014" s="1" t="s">
        <v>789</v>
      </c>
      <c r="F1014" s="1">
        <v>5.0</v>
      </c>
    </row>
    <row r="1015">
      <c r="A1015" s="1">
        <v>1013.0</v>
      </c>
      <c r="B1015" s="1" t="s">
        <v>866</v>
      </c>
      <c r="C1015" s="1" t="s">
        <v>6</v>
      </c>
      <c r="D1015" s="1">
        <v>1.0</v>
      </c>
      <c r="E1015" s="1" t="s">
        <v>789</v>
      </c>
      <c r="F1015" s="1">
        <v>309.0</v>
      </c>
    </row>
    <row r="1016">
      <c r="A1016" s="1">
        <v>1014.0</v>
      </c>
      <c r="B1016" s="1" t="s">
        <v>687</v>
      </c>
      <c r="C1016" s="1" t="s">
        <v>6</v>
      </c>
      <c r="D1016" s="1">
        <v>1.0</v>
      </c>
      <c r="E1016" s="1" t="s">
        <v>789</v>
      </c>
      <c r="F1016" s="1">
        <v>727471.0</v>
      </c>
    </row>
    <row r="1017">
      <c r="A1017" s="1">
        <v>1015.0</v>
      </c>
      <c r="B1017" s="1" t="s">
        <v>867</v>
      </c>
      <c r="C1017" s="1" t="s">
        <v>6</v>
      </c>
      <c r="D1017" s="1">
        <v>1.0</v>
      </c>
      <c r="E1017" s="1" t="s">
        <v>789</v>
      </c>
      <c r="F1017" s="1">
        <v>287667.0</v>
      </c>
    </row>
    <row r="1018">
      <c r="A1018" s="1">
        <v>1016.0</v>
      </c>
      <c r="B1018" s="1" t="s">
        <v>868</v>
      </c>
      <c r="C1018" s="1" t="s">
        <v>6</v>
      </c>
      <c r="D1018" s="1">
        <v>1.0</v>
      </c>
      <c r="E1018" s="1" t="s">
        <v>789</v>
      </c>
      <c r="F1018" s="1">
        <v>21116.0</v>
      </c>
    </row>
    <row r="1019">
      <c r="A1019" s="1">
        <v>1017.0</v>
      </c>
      <c r="B1019" s="1" t="s">
        <v>869</v>
      </c>
      <c r="C1019" s="1" t="s">
        <v>6</v>
      </c>
      <c r="D1019" s="1">
        <v>1.0</v>
      </c>
      <c r="E1019" s="1" t="s">
        <v>789</v>
      </c>
      <c r="F1019" s="1">
        <v>1094666.0</v>
      </c>
    </row>
    <row r="1020">
      <c r="A1020" s="1">
        <v>1018.0</v>
      </c>
      <c r="B1020" s="1" t="s">
        <v>870</v>
      </c>
      <c r="C1020" s="1" t="s">
        <v>6</v>
      </c>
      <c r="D1020" s="1">
        <v>1.0</v>
      </c>
      <c r="E1020" s="1" t="s">
        <v>789</v>
      </c>
      <c r="F1020" s="1">
        <v>374330.0</v>
      </c>
    </row>
    <row r="1021">
      <c r="A1021" s="1">
        <v>1019.0</v>
      </c>
      <c r="B1021" s="1" t="s">
        <v>871</v>
      </c>
      <c r="C1021" s="1" t="s">
        <v>6</v>
      </c>
      <c r="D1021" s="1">
        <v>1.0</v>
      </c>
      <c r="E1021" s="1" t="s">
        <v>789</v>
      </c>
      <c r="F1021" s="1">
        <v>5081882.0</v>
      </c>
    </row>
    <row r="1022">
      <c r="A1022" s="1">
        <v>1020.0</v>
      </c>
      <c r="B1022" s="1" t="s">
        <v>872</v>
      </c>
      <c r="C1022" s="1" t="s">
        <v>6</v>
      </c>
      <c r="D1022" s="1">
        <v>1.0</v>
      </c>
      <c r="E1022" s="1" t="s">
        <v>789</v>
      </c>
      <c r="F1022" s="1">
        <v>1849511.0</v>
      </c>
    </row>
    <row r="1023">
      <c r="A1023" s="1">
        <v>1021.0</v>
      </c>
      <c r="B1023" s="1" t="s">
        <v>8</v>
      </c>
      <c r="C1023" s="1" t="s">
        <v>6</v>
      </c>
      <c r="D1023" s="1">
        <v>21.0</v>
      </c>
      <c r="E1023" s="1" t="s">
        <v>873</v>
      </c>
      <c r="F1023" s="1">
        <v>916284.0</v>
      </c>
    </row>
    <row r="1024">
      <c r="A1024" s="1">
        <v>1022.0</v>
      </c>
      <c r="B1024" s="1" t="s">
        <v>11</v>
      </c>
      <c r="C1024" s="1" t="s">
        <v>6</v>
      </c>
      <c r="D1024" s="1">
        <v>18.0</v>
      </c>
      <c r="E1024" s="1" t="s">
        <v>873</v>
      </c>
      <c r="F1024" s="1">
        <v>1196560.0</v>
      </c>
    </row>
    <row r="1025">
      <c r="A1025" s="1">
        <v>1023.0</v>
      </c>
      <c r="B1025" s="1" t="s">
        <v>874</v>
      </c>
      <c r="C1025" s="1" t="s">
        <v>6</v>
      </c>
      <c r="D1025" s="1">
        <v>16.0</v>
      </c>
      <c r="E1025" s="1" t="s">
        <v>873</v>
      </c>
      <c r="F1025" s="1">
        <v>808616.0</v>
      </c>
    </row>
    <row r="1026">
      <c r="A1026" s="1">
        <v>1024.0</v>
      </c>
      <c r="B1026" s="1" t="s">
        <v>74</v>
      </c>
      <c r="C1026" s="1" t="s">
        <v>6</v>
      </c>
      <c r="D1026" s="1">
        <v>16.0</v>
      </c>
      <c r="E1026" s="1" t="s">
        <v>873</v>
      </c>
      <c r="F1026" s="1">
        <v>1235654.0</v>
      </c>
    </row>
    <row r="1027">
      <c r="A1027" s="1">
        <v>1025.0</v>
      </c>
      <c r="B1027" s="1" t="s">
        <v>69</v>
      </c>
      <c r="C1027" s="1" t="s">
        <v>6</v>
      </c>
      <c r="D1027" s="1">
        <v>11.0</v>
      </c>
      <c r="E1027" s="1" t="s">
        <v>873</v>
      </c>
      <c r="F1027" s="1">
        <v>1294964.0</v>
      </c>
    </row>
    <row r="1028">
      <c r="A1028" s="1">
        <v>1026.0</v>
      </c>
      <c r="B1028" s="1" t="s">
        <v>794</v>
      </c>
      <c r="C1028" s="1" t="s">
        <v>6</v>
      </c>
      <c r="D1028" s="1">
        <v>11.0</v>
      </c>
      <c r="E1028" s="1" t="s">
        <v>873</v>
      </c>
      <c r="F1028" s="1">
        <v>1276202.0</v>
      </c>
    </row>
    <row r="1029">
      <c r="A1029" s="1">
        <v>1027.0</v>
      </c>
      <c r="B1029" s="1" t="s">
        <v>875</v>
      </c>
      <c r="C1029" s="1" t="s">
        <v>6</v>
      </c>
      <c r="D1029" s="1">
        <v>11.0</v>
      </c>
      <c r="E1029" s="1" t="s">
        <v>873</v>
      </c>
      <c r="F1029" s="1">
        <v>1155616.0</v>
      </c>
    </row>
    <row r="1030">
      <c r="A1030" s="1">
        <v>1028.0</v>
      </c>
      <c r="B1030" s="1" t="s">
        <v>876</v>
      </c>
      <c r="C1030" s="1" t="s">
        <v>6</v>
      </c>
      <c r="D1030" s="1">
        <v>10.0</v>
      </c>
      <c r="E1030" s="1" t="s">
        <v>873</v>
      </c>
      <c r="F1030" s="1">
        <v>1024121.0</v>
      </c>
    </row>
    <row r="1031">
      <c r="A1031" s="1">
        <v>1029.0</v>
      </c>
      <c r="B1031" s="1" t="s">
        <v>182</v>
      </c>
      <c r="C1031" s="1" t="s">
        <v>6</v>
      </c>
      <c r="D1031" s="1">
        <v>10.0</v>
      </c>
      <c r="E1031" s="1" t="s">
        <v>873</v>
      </c>
      <c r="F1031" s="1">
        <v>1455101.0</v>
      </c>
    </row>
    <row r="1032">
      <c r="A1032" s="1">
        <v>1030.0</v>
      </c>
      <c r="B1032" s="1" t="s">
        <v>877</v>
      </c>
      <c r="C1032" s="1" t="s">
        <v>6</v>
      </c>
      <c r="D1032" s="1">
        <v>10.0</v>
      </c>
      <c r="E1032" s="1" t="s">
        <v>873</v>
      </c>
      <c r="F1032" s="1">
        <v>885863.0</v>
      </c>
    </row>
    <row r="1033">
      <c r="A1033" s="1">
        <v>1031.0</v>
      </c>
      <c r="B1033" s="1" t="s">
        <v>878</v>
      </c>
      <c r="C1033" s="1" t="s">
        <v>6</v>
      </c>
      <c r="D1033" s="1">
        <v>9.0</v>
      </c>
      <c r="E1033" s="1" t="s">
        <v>873</v>
      </c>
      <c r="F1033" s="1">
        <v>1451573.0</v>
      </c>
    </row>
    <row r="1034">
      <c r="A1034" s="1">
        <v>1032.0</v>
      </c>
      <c r="B1034" s="1" t="s">
        <v>16</v>
      </c>
      <c r="C1034" s="1" t="s">
        <v>6</v>
      </c>
      <c r="D1034" s="1">
        <v>8.0</v>
      </c>
      <c r="E1034" s="1" t="s">
        <v>873</v>
      </c>
      <c r="F1034" s="1">
        <v>965789.0</v>
      </c>
    </row>
    <row r="1035">
      <c r="A1035" s="1">
        <v>1033.0</v>
      </c>
      <c r="B1035" s="1" t="s">
        <v>879</v>
      </c>
      <c r="C1035" s="1" t="s">
        <v>6</v>
      </c>
      <c r="D1035" s="1">
        <v>8.0</v>
      </c>
      <c r="E1035" s="1" t="s">
        <v>873</v>
      </c>
      <c r="F1035" s="1">
        <v>1239994.0</v>
      </c>
    </row>
    <row r="1036">
      <c r="A1036" s="1">
        <v>1034.0</v>
      </c>
      <c r="B1036" s="1" t="s">
        <v>59</v>
      </c>
      <c r="C1036" s="1" t="s">
        <v>6</v>
      </c>
      <c r="D1036" s="1">
        <v>6.0</v>
      </c>
      <c r="E1036" s="1" t="s">
        <v>873</v>
      </c>
      <c r="F1036" s="1">
        <v>690381.0</v>
      </c>
    </row>
    <row r="1037">
      <c r="A1037" s="1">
        <v>1035.0</v>
      </c>
      <c r="B1037" s="1" t="s">
        <v>380</v>
      </c>
      <c r="C1037" s="1" t="s">
        <v>6</v>
      </c>
      <c r="D1037" s="1">
        <v>6.0</v>
      </c>
      <c r="E1037" s="1" t="s">
        <v>873</v>
      </c>
      <c r="F1037" s="1">
        <v>91.0</v>
      </c>
    </row>
    <row r="1038">
      <c r="A1038" s="1">
        <v>1036.0</v>
      </c>
      <c r="B1038" s="5" t="s">
        <v>880</v>
      </c>
      <c r="C1038" s="1" t="s">
        <v>6</v>
      </c>
      <c r="D1038" s="1">
        <v>6.0</v>
      </c>
      <c r="E1038" s="1" t="s">
        <v>873</v>
      </c>
      <c r="F1038" s="1">
        <v>1080483.0</v>
      </c>
    </row>
    <row r="1039">
      <c r="A1039" s="1">
        <v>1037.0</v>
      </c>
      <c r="B1039" s="1" t="s">
        <v>881</v>
      </c>
      <c r="C1039" s="1" t="s">
        <v>6</v>
      </c>
      <c r="D1039" s="1">
        <v>6.0</v>
      </c>
      <c r="E1039" s="1" t="s">
        <v>873</v>
      </c>
      <c r="F1039" s="1">
        <v>35032.0</v>
      </c>
    </row>
    <row r="1040">
      <c r="A1040" s="1">
        <v>1038.0</v>
      </c>
      <c r="B1040" s="5" t="s">
        <v>307</v>
      </c>
      <c r="C1040" s="1" t="s">
        <v>6</v>
      </c>
      <c r="D1040" s="1">
        <v>6.0</v>
      </c>
      <c r="E1040" s="1" t="s">
        <v>873</v>
      </c>
      <c r="F1040" s="1">
        <v>575502.0</v>
      </c>
    </row>
    <row r="1041">
      <c r="A1041" s="1">
        <v>1039.0</v>
      </c>
      <c r="B1041" s="1" t="s">
        <v>882</v>
      </c>
      <c r="C1041" s="1" t="s">
        <v>6</v>
      </c>
      <c r="D1041" s="1">
        <v>6.0</v>
      </c>
      <c r="E1041" s="1" t="s">
        <v>873</v>
      </c>
      <c r="F1041" s="1">
        <v>848028.0</v>
      </c>
    </row>
    <row r="1042">
      <c r="A1042" s="1">
        <v>1040.0</v>
      </c>
      <c r="B1042" s="1" t="s">
        <v>620</v>
      </c>
      <c r="C1042" s="1" t="s">
        <v>6</v>
      </c>
      <c r="D1042" s="1">
        <v>5.0</v>
      </c>
      <c r="E1042" s="1" t="s">
        <v>873</v>
      </c>
      <c r="F1042" s="1">
        <v>1081397.0</v>
      </c>
    </row>
    <row r="1043">
      <c r="A1043" s="1">
        <v>1041.0</v>
      </c>
      <c r="B1043" s="1" t="s">
        <v>883</v>
      </c>
      <c r="C1043" s="1" t="s">
        <v>6</v>
      </c>
      <c r="D1043" s="1">
        <v>5.0</v>
      </c>
      <c r="E1043" s="1" t="s">
        <v>873</v>
      </c>
      <c r="F1043" s="1">
        <v>1849285.0</v>
      </c>
    </row>
    <row r="1044">
      <c r="A1044" s="1">
        <v>1042.0</v>
      </c>
      <c r="B1044" s="1" t="s">
        <v>884</v>
      </c>
      <c r="C1044" s="1" t="s">
        <v>6</v>
      </c>
      <c r="D1044" s="1">
        <v>5.0</v>
      </c>
      <c r="E1044" s="1" t="s">
        <v>873</v>
      </c>
      <c r="F1044" s="1">
        <v>1887245.0</v>
      </c>
    </row>
    <row r="1045">
      <c r="A1045" s="1">
        <v>1043.0</v>
      </c>
      <c r="B1045" s="1" t="s">
        <v>29</v>
      </c>
      <c r="C1045" s="1" t="s">
        <v>6</v>
      </c>
      <c r="D1045" s="1">
        <v>4.0</v>
      </c>
      <c r="E1045" s="1" t="s">
        <v>873</v>
      </c>
      <c r="F1045" s="1">
        <v>1275546.0</v>
      </c>
    </row>
    <row r="1046">
      <c r="A1046" s="1">
        <v>1044.0</v>
      </c>
      <c r="B1046" s="1" t="s">
        <v>176</v>
      </c>
      <c r="C1046" s="1" t="s">
        <v>6</v>
      </c>
      <c r="D1046" s="1">
        <v>4.0</v>
      </c>
      <c r="E1046" s="1" t="s">
        <v>873</v>
      </c>
      <c r="F1046" s="1">
        <v>54959.0</v>
      </c>
    </row>
    <row r="1047">
      <c r="A1047" s="1">
        <v>1045.0</v>
      </c>
      <c r="B1047" s="1" t="s">
        <v>119</v>
      </c>
      <c r="C1047" s="1" t="s">
        <v>6</v>
      </c>
      <c r="D1047" s="1">
        <v>4.0</v>
      </c>
      <c r="E1047" s="1" t="s">
        <v>873</v>
      </c>
      <c r="F1047" s="1">
        <v>1364961.0</v>
      </c>
    </row>
    <row r="1048">
      <c r="A1048" s="1">
        <v>1046.0</v>
      </c>
      <c r="B1048" s="1" t="s">
        <v>885</v>
      </c>
      <c r="C1048" s="1" t="s">
        <v>6</v>
      </c>
      <c r="D1048" s="1">
        <v>4.0</v>
      </c>
      <c r="E1048" s="1" t="s">
        <v>873</v>
      </c>
      <c r="F1048" s="1">
        <v>1929406.0</v>
      </c>
    </row>
    <row r="1049">
      <c r="A1049" s="1">
        <v>1047.0</v>
      </c>
      <c r="B1049" s="1" t="s">
        <v>886</v>
      </c>
      <c r="C1049" s="1" t="s">
        <v>6</v>
      </c>
      <c r="D1049" s="1">
        <v>4.0</v>
      </c>
      <c r="E1049" s="1" t="s">
        <v>873</v>
      </c>
      <c r="F1049" s="1">
        <v>1804941.0</v>
      </c>
    </row>
    <row r="1050">
      <c r="A1050" s="1">
        <v>1048.0</v>
      </c>
      <c r="B1050" s="1" t="s">
        <v>809</v>
      </c>
      <c r="C1050" s="1" t="s">
        <v>6</v>
      </c>
      <c r="D1050" s="1">
        <v>4.0</v>
      </c>
      <c r="E1050" s="1" t="s">
        <v>873</v>
      </c>
      <c r="F1050" s="1">
        <v>844078.0</v>
      </c>
    </row>
    <row r="1051">
      <c r="A1051" s="1">
        <v>1049.0</v>
      </c>
      <c r="B1051" s="1" t="s">
        <v>887</v>
      </c>
      <c r="C1051" s="1" t="s">
        <v>6</v>
      </c>
      <c r="D1051" s="1">
        <v>4.0</v>
      </c>
      <c r="E1051" s="1" t="s">
        <v>873</v>
      </c>
      <c r="F1051" s="1">
        <v>1531036.0</v>
      </c>
    </row>
    <row r="1052">
      <c r="A1052" s="1">
        <v>1050.0</v>
      </c>
      <c r="B1052" s="1" t="s">
        <v>888</v>
      </c>
      <c r="C1052" s="1" t="s">
        <v>6</v>
      </c>
      <c r="D1052" s="1">
        <v>4.0</v>
      </c>
      <c r="E1052" s="1" t="s">
        <v>873</v>
      </c>
      <c r="F1052" s="1">
        <v>1167179.0</v>
      </c>
    </row>
    <row r="1053">
      <c r="A1053" s="1">
        <v>1051.0</v>
      </c>
      <c r="B1053" s="1" t="s">
        <v>219</v>
      </c>
      <c r="C1053" s="1" t="s">
        <v>6</v>
      </c>
      <c r="D1053" s="1">
        <v>4.0</v>
      </c>
      <c r="E1053" s="1" t="s">
        <v>873</v>
      </c>
      <c r="F1053" s="1">
        <v>796172.0</v>
      </c>
    </row>
    <row r="1054">
      <c r="A1054" s="1">
        <v>1052.0</v>
      </c>
      <c r="B1054" s="1" t="s">
        <v>889</v>
      </c>
      <c r="C1054" s="1" t="s">
        <v>6</v>
      </c>
      <c r="D1054" s="1">
        <v>4.0</v>
      </c>
      <c r="E1054" s="1" t="s">
        <v>873</v>
      </c>
      <c r="F1054" s="1">
        <v>929072.0</v>
      </c>
    </row>
    <row r="1055">
      <c r="A1055" s="1">
        <v>1053.0</v>
      </c>
      <c r="B1055" s="1" t="s">
        <v>9</v>
      </c>
      <c r="C1055" s="1" t="s">
        <v>6</v>
      </c>
      <c r="D1055" s="1">
        <v>3.0</v>
      </c>
      <c r="E1055" s="1" t="s">
        <v>873</v>
      </c>
      <c r="F1055" s="1">
        <v>40359.0</v>
      </c>
    </row>
    <row r="1056">
      <c r="A1056" s="1">
        <v>1054.0</v>
      </c>
      <c r="B1056" s="1" t="s">
        <v>661</v>
      </c>
      <c r="C1056" s="1" t="s">
        <v>6</v>
      </c>
      <c r="D1056" s="1">
        <v>3.0</v>
      </c>
      <c r="E1056" s="1" t="s">
        <v>873</v>
      </c>
      <c r="F1056" s="1">
        <v>519997.0</v>
      </c>
    </row>
    <row r="1057">
      <c r="A1057" s="1">
        <v>1055.0</v>
      </c>
      <c r="B1057" s="1" t="s">
        <v>610</v>
      </c>
      <c r="C1057" s="1" t="s">
        <v>6</v>
      </c>
      <c r="D1057" s="1">
        <v>3.0</v>
      </c>
      <c r="E1057" s="1" t="s">
        <v>873</v>
      </c>
      <c r="F1057" s="1">
        <v>1143785.0</v>
      </c>
    </row>
    <row r="1058">
      <c r="A1058" s="1">
        <v>1056.0</v>
      </c>
      <c r="B1058" s="1" t="s">
        <v>111</v>
      </c>
      <c r="C1058" s="1" t="s">
        <v>6</v>
      </c>
      <c r="D1058" s="1">
        <v>3.0</v>
      </c>
      <c r="E1058" s="1" t="s">
        <v>873</v>
      </c>
      <c r="F1058" s="1">
        <v>1919822.0</v>
      </c>
    </row>
    <row r="1059">
      <c r="A1059" s="1">
        <v>1057.0</v>
      </c>
      <c r="B1059" s="1" t="s">
        <v>666</v>
      </c>
      <c r="C1059" s="1" t="s">
        <v>6</v>
      </c>
      <c r="D1059" s="1">
        <v>3.0</v>
      </c>
      <c r="E1059" s="1" t="s">
        <v>873</v>
      </c>
      <c r="F1059" s="1">
        <v>1346762.0</v>
      </c>
    </row>
    <row r="1060">
      <c r="A1060" s="1">
        <v>1058.0</v>
      </c>
      <c r="B1060" s="1" t="s">
        <v>20</v>
      </c>
      <c r="C1060" s="1" t="s">
        <v>6</v>
      </c>
      <c r="D1060" s="1">
        <v>3.0</v>
      </c>
      <c r="E1060" s="1" t="s">
        <v>873</v>
      </c>
      <c r="F1060" s="1">
        <v>1463014.0</v>
      </c>
    </row>
    <row r="1061">
      <c r="A1061" s="1">
        <v>1059.0</v>
      </c>
      <c r="B1061" s="1" t="s">
        <v>384</v>
      </c>
      <c r="C1061" s="1" t="s">
        <v>6</v>
      </c>
      <c r="D1061" s="1">
        <v>3.0</v>
      </c>
      <c r="E1061" s="1" t="s">
        <v>873</v>
      </c>
      <c r="F1061" s="1">
        <v>2504513.0</v>
      </c>
    </row>
    <row r="1062">
      <c r="A1062" s="1">
        <v>1060.0</v>
      </c>
      <c r="B1062" s="1" t="s">
        <v>490</v>
      </c>
      <c r="C1062" s="1" t="s">
        <v>6</v>
      </c>
      <c r="D1062" s="1">
        <v>3.0</v>
      </c>
      <c r="E1062" s="1" t="s">
        <v>873</v>
      </c>
      <c r="F1062" s="1">
        <v>977371.0</v>
      </c>
    </row>
    <row r="1063">
      <c r="A1063" s="1">
        <v>1061.0</v>
      </c>
      <c r="B1063" s="1" t="s">
        <v>890</v>
      </c>
      <c r="C1063" s="1" t="s">
        <v>6</v>
      </c>
      <c r="D1063" s="1">
        <v>3.0</v>
      </c>
      <c r="E1063" s="1" t="s">
        <v>873</v>
      </c>
      <c r="F1063" s="1">
        <v>1041930.0</v>
      </c>
    </row>
    <row r="1064">
      <c r="A1064" s="1">
        <v>1062.0</v>
      </c>
      <c r="B1064" s="1" t="s">
        <v>891</v>
      </c>
      <c r="C1064" s="1" t="s">
        <v>6</v>
      </c>
      <c r="D1064" s="1">
        <v>3.0</v>
      </c>
      <c r="E1064" s="1" t="s">
        <v>873</v>
      </c>
      <c r="F1064" s="1">
        <v>989135.0</v>
      </c>
    </row>
    <row r="1065">
      <c r="A1065" s="1">
        <v>1063.0</v>
      </c>
      <c r="B1065" s="1" t="s">
        <v>892</v>
      </c>
      <c r="C1065" s="1" t="s">
        <v>6</v>
      </c>
      <c r="D1065" s="1">
        <v>3.0</v>
      </c>
      <c r="E1065" s="1" t="s">
        <v>873</v>
      </c>
      <c r="F1065" s="1">
        <v>1030450.0</v>
      </c>
    </row>
    <row r="1066">
      <c r="A1066" s="1">
        <v>1064.0</v>
      </c>
      <c r="B1066" s="1" t="s">
        <v>893</v>
      </c>
      <c r="C1066" s="1" t="s">
        <v>6</v>
      </c>
      <c r="D1066" s="1">
        <v>3.0</v>
      </c>
      <c r="E1066" s="1" t="s">
        <v>873</v>
      </c>
      <c r="F1066" s="1">
        <v>2032753.0</v>
      </c>
    </row>
    <row r="1067">
      <c r="A1067" s="1">
        <v>1065.0</v>
      </c>
      <c r="B1067" s="1" t="s">
        <v>894</v>
      </c>
      <c r="C1067" s="1" t="s">
        <v>6</v>
      </c>
      <c r="D1067" s="1">
        <v>3.0</v>
      </c>
      <c r="E1067" s="1" t="s">
        <v>873</v>
      </c>
      <c r="F1067" s="1">
        <v>1175030.0</v>
      </c>
    </row>
    <row r="1068">
      <c r="A1068" s="1">
        <v>1066.0</v>
      </c>
      <c r="B1068" s="1" t="s">
        <v>895</v>
      </c>
      <c r="C1068" s="1" t="s">
        <v>6</v>
      </c>
      <c r="D1068" s="1">
        <v>3.0</v>
      </c>
      <c r="E1068" s="1" t="s">
        <v>873</v>
      </c>
      <c r="F1068" s="1">
        <v>813690.0</v>
      </c>
    </row>
    <row r="1069">
      <c r="A1069" s="1">
        <v>1067.0</v>
      </c>
      <c r="B1069" s="1" t="s">
        <v>577</v>
      </c>
      <c r="C1069" s="1" t="s">
        <v>6</v>
      </c>
      <c r="D1069" s="1">
        <v>2.0</v>
      </c>
      <c r="E1069" s="1" t="s">
        <v>873</v>
      </c>
      <c r="F1069" s="1">
        <v>57441.0</v>
      </c>
    </row>
    <row r="1070">
      <c r="A1070" s="1">
        <v>1068.0</v>
      </c>
      <c r="B1070" s="1" t="s">
        <v>31</v>
      </c>
      <c r="C1070" s="1" t="s">
        <v>6</v>
      </c>
      <c r="D1070" s="1">
        <v>2.0</v>
      </c>
      <c r="E1070" s="1" t="s">
        <v>873</v>
      </c>
      <c r="F1070" s="1">
        <v>87349.0</v>
      </c>
    </row>
    <row r="1071">
      <c r="A1071" s="1">
        <v>1069.0</v>
      </c>
      <c r="B1071" s="1" t="s">
        <v>54</v>
      </c>
      <c r="C1071" s="1" t="s">
        <v>6</v>
      </c>
      <c r="D1071" s="1">
        <v>2.0</v>
      </c>
      <c r="E1071" s="1" t="s">
        <v>873</v>
      </c>
      <c r="F1071" s="1">
        <v>5092618.0</v>
      </c>
    </row>
    <row r="1072">
      <c r="A1072" s="1">
        <v>1070.0</v>
      </c>
      <c r="B1072" s="1" t="s">
        <v>896</v>
      </c>
      <c r="C1072" s="1" t="s">
        <v>6</v>
      </c>
      <c r="D1072" s="1">
        <v>2.0</v>
      </c>
      <c r="E1072" s="1" t="s">
        <v>873</v>
      </c>
      <c r="F1072" s="1">
        <v>62616.0</v>
      </c>
    </row>
    <row r="1073">
      <c r="A1073" s="1">
        <v>1071.0</v>
      </c>
      <c r="B1073" s="1" t="s">
        <v>581</v>
      </c>
      <c r="C1073" s="1" t="s">
        <v>6</v>
      </c>
      <c r="D1073" s="1">
        <v>2.0</v>
      </c>
      <c r="E1073" s="1" t="s">
        <v>873</v>
      </c>
      <c r="F1073" s="1">
        <v>42253.0</v>
      </c>
    </row>
    <row r="1074">
      <c r="A1074" s="1">
        <v>1072.0</v>
      </c>
      <c r="B1074" s="1" t="s">
        <v>581</v>
      </c>
      <c r="C1074" s="1" t="s">
        <v>6</v>
      </c>
      <c r="D1074" s="1">
        <v>2.0</v>
      </c>
      <c r="E1074" s="1" t="s">
        <v>873</v>
      </c>
      <c r="F1074" s="1">
        <v>298664.0</v>
      </c>
    </row>
    <row r="1075">
      <c r="A1075" s="1">
        <v>1073.0</v>
      </c>
      <c r="B1075" s="1" t="s">
        <v>173</v>
      </c>
      <c r="C1075" s="1" t="s">
        <v>6</v>
      </c>
      <c r="D1075" s="1">
        <v>2.0</v>
      </c>
      <c r="E1075" s="1" t="s">
        <v>873</v>
      </c>
      <c r="F1075" s="1">
        <v>87863.0</v>
      </c>
    </row>
    <row r="1076">
      <c r="A1076" s="1">
        <v>1074.0</v>
      </c>
      <c r="B1076" s="1" t="s">
        <v>173</v>
      </c>
      <c r="C1076" s="1" t="s">
        <v>6</v>
      </c>
      <c r="D1076" s="1">
        <v>2.0</v>
      </c>
      <c r="E1076" s="1" t="s">
        <v>873</v>
      </c>
      <c r="F1076" s="1">
        <v>40662.0</v>
      </c>
    </row>
    <row r="1077">
      <c r="A1077" s="1">
        <v>1075.0</v>
      </c>
      <c r="B1077" s="1" t="s">
        <v>878</v>
      </c>
      <c r="C1077" s="1" t="s">
        <v>6</v>
      </c>
      <c r="D1077" s="1">
        <v>2.0</v>
      </c>
      <c r="E1077" s="1" t="s">
        <v>873</v>
      </c>
      <c r="F1077" s="1">
        <v>56282.0</v>
      </c>
    </row>
    <row r="1078">
      <c r="A1078" s="1">
        <v>1076.0</v>
      </c>
      <c r="B1078" s="1" t="s">
        <v>63</v>
      </c>
      <c r="C1078" s="1" t="s">
        <v>6</v>
      </c>
      <c r="D1078" s="1">
        <v>2.0</v>
      </c>
      <c r="E1078" s="1" t="s">
        <v>873</v>
      </c>
      <c r="F1078" s="1">
        <v>1511412.0</v>
      </c>
    </row>
    <row r="1079">
      <c r="A1079" s="1">
        <v>1077.0</v>
      </c>
      <c r="B1079" s="1" t="s">
        <v>839</v>
      </c>
      <c r="C1079" s="1" t="s">
        <v>6</v>
      </c>
      <c r="D1079" s="1">
        <v>2.0</v>
      </c>
      <c r="E1079" s="1" t="s">
        <v>873</v>
      </c>
      <c r="F1079" s="1">
        <v>988792.0</v>
      </c>
    </row>
    <row r="1080">
      <c r="A1080" s="1">
        <v>1078.0</v>
      </c>
      <c r="B1080" s="1" t="s">
        <v>897</v>
      </c>
      <c r="C1080" s="1" t="s">
        <v>6</v>
      </c>
      <c r="D1080" s="1">
        <v>2.0</v>
      </c>
      <c r="E1080" s="1" t="s">
        <v>873</v>
      </c>
      <c r="F1080" s="1">
        <v>1126209.0</v>
      </c>
    </row>
    <row r="1081">
      <c r="A1081" s="1">
        <v>1079.0</v>
      </c>
      <c r="B1081" s="1" t="s">
        <v>898</v>
      </c>
      <c r="C1081" s="1" t="s">
        <v>6</v>
      </c>
      <c r="D1081" s="1">
        <v>2.0</v>
      </c>
      <c r="E1081" s="1" t="s">
        <v>873</v>
      </c>
      <c r="F1081" s="1">
        <v>1022383.0</v>
      </c>
    </row>
    <row r="1082">
      <c r="A1082" s="1">
        <v>1080.0</v>
      </c>
      <c r="B1082" s="1" t="s">
        <v>43</v>
      </c>
      <c r="C1082" s="1" t="s">
        <v>6</v>
      </c>
      <c r="D1082" s="1">
        <v>2.0</v>
      </c>
      <c r="E1082" s="1" t="s">
        <v>873</v>
      </c>
      <c r="F1082" s="1">
        <v>82889.0</v>
      </c>
    </row>
    <row r="1083">
      <c r="A1083" s="1">
        <v>1081.0</v>
      </c>
      <c r="B1083" s="1" t="s">
        <v>899</v>
      </c>
      <c r="C1083" s="1" t="s">
        <v>6</v>
      </c>
      <c r="D1083" s="1">
        <v>2.0</v>
      </c>
      <c r="E1083" s="1" t="s">
        <v>873</v>
      </c>
      <c r="F1083" s="1">
        <v>1820394.0</v>
      </c>
    </row>
    <row r="1084">
      <c r="A1084" s="1">
        <v>1082.0</v>
      </c>
      <c r="B1084" s="1" t="s">
        <v>900</v>
      </c>
      <c r="C1084" s="1" t="s">
        <v>6</v>
      </c>
      <c r="D1084" s="1">
        <v>2.0</v>
      </c>
      <c r="E1084" s="1" t="s">
        <v>873</v>
      </c>
      <c r="F1084" s="1">
        <v>1431111.0</v>
      </c>
    </row>
    <row r="1085">
      <c r="A1085" s="1">
        <v>1083.0</v>
      </c>
      <c r="B1085" s="1" t="s">
        <v>901</v>
      </c>
      <c r="C1085" s="1" t="s">
        <v>6</v>
      </c>
      <c r="D1085" s="1">
        <v>2.0</v>
      </c>
      <c r="E1085" s="1" t="s">
        <v>873</v>
      </c>
      <c r="F1085" s="1">
        <v>1050911.0</v>
      </c>
    </row>
    <row r="1086">
      <c r="A1086" s="1">
        <v>1084.0</v>
      </c>
      <c r="B1086" s="1" t="s">
        <v>902</v>
      </c>
      <c r="C1086" s="1" t="s">
        <v>6</v>
      </c>
      <c r="D1086" s="1">
        <v>2.0</v>
      </c>
      <c r="E1086" s="1" t="s">
        <v>873</v>
      </c>
      <c r="F1086" s="1">
        <v>2372152.0</v>
      </c>
    </row>
    <row r="1087">
      <c r="A1087" s="1">
        <v>1085.0</v>
      </c>
      <c r="B1087" s="1" t="s">
        <v>903</v>
      </c>
      <c r="C1087" s="1" t="s">
        <v>6</v>
      </c>
      <c r="D1087" s="1">
        <v>2.0</v>
      </c>
      <c r="E1087" s="1" t="s">
        <v>873</v>
      </c>
      <c r="F1087" s="1">
        <v>960895.0</v>
      </c>
    </row>
    <row r="1088">
      <c r="A1088" s="1">
        <v>1086.0</v>
      </c>
      <c r="B1088" s="1" t="s">
        <v>904</v>
      </c>
      <c r="C1088" s="1" t="s">
        <v>6</v>
      </c>
      <c r="D1088" s="1">
        <v>2.0</v>
      </c>
      <c r="E1088" s="1" t="s">
        <v>873</v>
      </c>
      <c r="F1088" s="1">
        <v>1059305.0</v>
      </c>
    </row>
    <row r="1089">
      <c r="A1089" s="1">
        <v>1087.0</v>
      </c>
      <c r="B1089" s="1" t="s">
        <v>671</v>
      </c>
      <c r="C1089" s="1" t="s">
        <v>6</v>
      </c>
      <c r="D1089" s="1">
        <v>2.0</v>
      </c>
      <c r="E1089" s="1" t="s">
        <v>873</v>
      </c>
      <c r="F1089" s="1">
        <v>841773.0</v>
      </c>
    </row>
    <row r="1090">
      <c r="A1090" s="1">
        <v>1088.0</v>
      </c>
      <c r="B1090" s="1" t="s">
        <v>905</v>
      </c>
      <c r="C1090" s="1" t="s">
        <v>6</v>
      </c>
      <c r="D1090" s="1">
        <v>2.0</v>
      </c>
      <c r="E1090" s="1" t="s">
        <v>873</v>
      </c>
      <c r="F1090" s="1">
        <v>900640.0</v>
      </c>
    </row>
    <row r="1091">
      <c r="A1091" s="1">
        <v>1089.0</v>
      </c>
      <c r="B1091" s="1" t="s">
        <v>906</v>
      </c>
      <c r="C1091" s="1" t="s">
        <v>6</v>
      </c>
      <c r="D1091" s="1">
        <v>2.0</v>
      </c>
      <c r="E1091" s="1" t="s">
        <v>873</v>
      </c>
      <c r="F1091" s="1">
        <v>92432.0</v>
      </c>
    </row>
    <row r="1092">
      <c r="A1092" s="1">
        <v>1090.0</v>
      </c>
      <c r="B1092" s="1" t="s">
        <v>907</v>
      </c>
      <c r="C1092" s="1" t="s">
        <v>6</v>
      </c>
      <c r="D1092" s="1">
        <v>2.0</v>
      </c>
      <c r="E1092" s="1" t="s">
        <v>873</v>
      </c>
      <c r="F1092" s="1">
        <v>627616.0</v>
      </c>
    </row>
    <row r="1093">
      <c r="A1093" s="1">
        <v>1091.0</v>
      </c>
      <c r="B1093" s="1" t="s">
        <v>908</v>
      </c>
      <c r="C1093" s="1" t="s">
        <v>6</v>
      </c>
      <c r="D1093" s="1">
        <v>2.0</v>
      </c>
      <c r="E1093" s="1" t="s">
        <v>873</v>
      </c>
      <c r="F1093" s="1">
        <v>1634470.0</v>
      </c>
    </row>
    <row r="1094">
      <c r="A1094" s="1">
        <v>1092.0</v>
      </c>
      <c r="B1094" s="1" t="s">
        <v>678</v>
      </c>
      <c r="C1094" s="1" t="s">
        <v>6</v>
      </c>
      <c r="D1094" s="1">
        <v>2.0</v>
      </c>
      <c r="E1094" s="1" t="s">
        <v>873</v>
      </c>
      <c r="F1094" s="1">
        <v>1364816.0</v>
      </c>
    </row>
    <row r="1095">
      <c r="A1095" s="1">
        <v>1093.0</v>
      </c>
      <c r="B1095" s="5" t="s">
        <v>909</v>
      </c>
      <c r="C1095" s="1" t="s">
        <v>6</v>
      </c>
      <c r="D1095" s="1">
        <v>2.0</v>
      </c>
      <c r="E1095" s="1" t="s">
        <v>873</v>
      </c>
      <c r="F1095" s="1">
        <v>1403697.0</v>
      </c>
    </row>
    <row r="1096">
      <c r="A1096" s="1">
        <v>1094.0</v>
      </c>
      <c r="B1096" s="1" t="s">
        <v>910</v>
      </c>
      <c r="C1096" s="1" t="s">
        <v>6</v>
      </c>
      <c r="D1096" s="1">
        <v>2.0</v>
      </c>
      <c r="E1096" s="1" t="s">
        <v>873</v>
      </c>
      <c r="F1096" s="1">
        <v>1881607.0</v>
      </c>
    </row>
    <row r="1097">
      <c r="A1097" s="1">
        <v>1095.0</v>
      </c>
      <c r="B1097" s="1" t="s">
        <v>911</v>
      </c>
      <c r="C1097" s="1" t="s">
        <v>6</v>
      </c>
      <c r="D1097" s="1">
        <v>2.0</v>
      </c>
      <c r="E1097" s="1" t="s">
        <v>873</v>
      </c>
      <c r="F1097" s="1">
        <v>1352722.0</v>
      </c>
    </row>
    <row r="1098">
      <c r="A1098" s="1">
        <v>1096.0</v>
      </c>
      <c r="B1098" s="1" t="s">
        <v>912</v>
      </c>
      <c r="C1098" s="1" t="s">
        <v>6</v>
      </c>
      <c r="D1098" s="1">
        <v>2.0</v>
      </c>
      <c r="E1098" s="1" t="s">
        <v>873</v>
      </c>
      <c r="F1098" s="1">
        <v>868995.0</v>
      </c>
    </row>
    <row r="1099">
      <c r="A1099" s="1">
        <v>1097.0</v>
      </c>
      <c r="B1099" s="1" t="s">
        <v>913</v>
      </c>
      <c r="C1099" s="1" t="s">
        <v>6</v>
      </c>
      <c r="D1099" s="1">
        <v>2.0</v>
      </c>
      <c r="E1099" s="1" t="s">
        <v>873</v>
      </c>
      <c r="F1099" s="1">
        <v>1568839.0</v>
      </c>
    </row>
    <row r="1100">
      <c r="A1100" s="1">
        <v>1098.0</v>
      </c>
      <c r="B1100" s="1" t="s">
        <v>914</v>
      </c>
      <c r="C1100" s="1" t="s">
        <v>6</v>
      </c>
      <c r="D1100" s="1">
        <v>2.0</v>
      </c>
      <c r="E1100" s="1" t="s">
        <v>873</v>
      </c>
      <c r="F1100" s="1">
        <v>991426.0</v>
      </c>
    </row>
    <row r="1101">
      <c r="A1101" s="1">
        <v>1099.0</v>
      </c>
      <c r="B1101" s="1" t="s">
        <v>915</v>
      </c>
      <c r="C1101" s="1" t="s">
        <v>6</v>
      </c>
      <c r="D1101" s="1">
        <v>2.0</v>
      </c>
      <c r="E1101" s="1" t="s">
        <v>873</v>
      </c>
      <c r="F1101" s="1">
        <v>99573.0</v>
      </c>
    </row>
    <row r="1102">
      <c r="A1102" s="1">
        <v>1100.0</v>
      </c>
      <c r="B1102" s="1" t="s">
        <v>916</v>
      </c>
      <c r="C1102" s="1" t="s">
        <v>6</v>
      </c>
      <c r="D1102" s="1">
        <v>2.0</v>
      </c>
      <c r="E1102" s="1" t="s">
        <v>873</v>
      </c>
      <c r="F1102" s="1">
        <v>163475.0</v>
      </c>
    </row>
    <row r="1103">
      <c r="A1103" s="1">
        <v>1101.0</v>
      </c>
      <c r="B1103" s="1" t="s">
        <v>864</v>
      </c>
      <c r="C1103" s="1" t="s">
        <v>6</v>
      </c>
      <c r="D1103" s="1">
        <v>2.0</v>
      </c>
      <c r="E1103" s="1" t="s">
        <v>873</v>
      </c>
      <c r="F1103" s="1">
        <v>22194.0</v>
      </c>
    </row>
    <row r="1104">
      <c r="A1104" s="1">
        <v>1102.0</v>
      </c>
      <c r="B1104" s="1" t="s">
        <v>917</v>
      </c>
      <c r="C1104" s="1" t="s">
        <v>6</v>
      </c>
      <c r="D1104" s="1">
        <v>2.0</v>
      </c>
      <c r="E1104" s="1" t="s">
        <v>873</v>
      </c>
      <c r="F1104" s="1">
        <v>1031408.0</v>
      </c>
    </row>
    <row r="1105">
      <c r="A1105" s="1">
        <v>1103.0</v>
      </c>
      <c r="B1105" s="1" t="s">
        <v>918</v>
      </c>
      <c r="C1105" s="1" t="s">
        <v>6</v>
      </c>
      <c r="D1105" s="1">
        <v>2.0</v>
      </c>
      <c r="E1105" s="1" t="s">
        <v>873</v>
      </c>
      <c r="F1105" s="1">
        <v>658000.0</v>
      </c>
    </row>
    <row r="1106">
      <c r="A1106" s="1">
        <v>1104.0</v>
      </c>
      <c r="B1106" s="1" t="s">
        <v>919</v>
      </c>
      <c r="C1106" s="1" t="s">
        <v>6</v>
      </c>
      <c r="D1106" s="1">
        <v>2.0</v>
      </c>
      <c r="E1106" s="1" t="s">
        <v>873</v>
      </c>
      <c r="F1106" s="1">
        <v>2311305.0</v>
      </c>
    </row>
    <row r="1107">
      <c r="A1107" s="1">
        <v>1105.0</v>
      </c>
      <c r="B1107" s="1" t="s">
        <v>920</v>
      </c>
      <c r="C1107" s="1" t="s">
        <v>6</v>
      </c>
      <c r="D1107" s="1">
        <v>2.0</v>
      </c>
      <c r="E1107" s="1" t="s">
        <v>873</v>
      </c>
      <c r="F1107" s="1">
        <v>127510.0</v>
      </c>
    </row>
    <row r="1108">
      <c r="A1108" s="1">
        <v>1106.0</v>
      </c>
      <c r="B1108" s="1" t="s">
        <v>892</v>
      </c>
      <c r="C1108" s="1" t="s">
        <v>6</v>
      </c>
      <c r="D1108" s="1">
        <v>2.0</v>
      </c>
      <c r="E1108" s="1" t="s">
        <v>873</v>
      </c>
      <c r="F1108" s="1">
        <v>25879.0</v>
      </c>
    </row>
    <row r="1109">
      <c r="A1109" s="1">
        <v>1107.0</v>
      </c>
      <c r="B1109" s="1" t="s">
        <v>921</v>
      </c>
      <c r="C1109" s="1" t="s">
        <v>6</v>
      </c>
      <c r="D1109" s="1">
        <v>2.0</v>
      </c>
      <c r="E1109" s="1" t="s">
        <v>873</v>
      </c>
      <c r="F1109" s="1">
        <v>1195034.0</v>
      </c>
    </row>
    <row r="1110">
      <c r="A1110" s="1">
        <v>1108.0</v>
      </c>
      <c r="B1110" s="1" t="s">
        <v>922</v>
      </c>
      <c r="C1110" s="1" t="s">
        <v>6</v>
      </c>
      <c r="D1110" s="1">
        <v>2.0</v>
      </c>
      <c r="E1110" s="1" t="s">
        <v>873</v>
      </c>
      <c r="F1110" s="1">
        <v>1170069.0</v>
      </c>
    </row>
    <row r="1111">
      <c r="A1111" s="1">
        <v>1109.0</v>
      </c>
      <c r="B1111" s="1" t="s">
        <v>219</v>
      </c>
      <c r="C1111" s="1" t="s">
        <v>6</v>
      </c>
      <c r="D1111" s="1">
        <v>2.0</v>
      </c>
      <c r="E1111" s="1" t="s">
        <v>873</v>
      </c>
      <c r="F1111" s="1">
        <v>12647.0</v>
      </c>
    </row>
    <row r="1112">
      <c r="A1112" s="1">
        <v>1110.0</v>
      </c>
      <c r="B1112" s="1" t="s">
        <v>923</v>
      </c>
      <c r="C1112" s="1" t="s">
        <v>6</v>
      </c>
      <c r="D1112" s="1">
        <v>2.0</v>
      </c>
      <c r="E1112" s="1" t="s">
        <v>873</v>
      </c>
      <c r="F1112" s="1">
        <v>27.0</v>
      </c>
    </row>
    <row r="1113">
      <c r="A1113" s="1">
        <v>1111.0</v>
      </c>
      <c r="B1113" s="1" t="s">
        <v>924</v>
      </c>
      <c r="C1113" s="1" t="s">
        <v>6</v>
      </c>
      <c r="D1113" s="1">
        <v>2.0</v>
      </c>
      <c r="E1113" s="1" t="s">
        <v>873</v>
      </c>
      <c r="F1113" s="1">
        <v>767567.0</v>
      </c>
    </row>
    <row r="1114">
      <c r="A1114" s="1">
        <v>1112.0</v>
      </c>
      <c r="B1114" s="1" t="s">
        <v>925</v>
      </c>
      <c r="C1114" s="1" t="s">
        <v>6</v>
      </c>
      <c r="D1114" s="1">
        <v>2.0</v>
      </c>
      <c r="E1114" s="1" t="s">
        <v>873</v>
      </c>
      <c r="F1114" s="1">
        <v>22283.0</v>
      </c>
    </row>
    <row r="1115">
      <c r="A1115" s="1">
        <v>1113.0</v>
      </c>
      <c r="B1115" s="1" t="s">
        <v>926</v>
      </c>
      <c r="C1115" s="1" t="s">
        <v>6</v>
      </c>
      <c r="D1115" s="1">
        <v>2.0</v>
      </c>
      <c r="E1115" s="1" t="s">
        <v>873</v>
      </c>
      <c r="F1115" s="1">
        <v>1094569.0</v>
      </c>
    </row>
    <row r="1116">
      <c r="A1116" s="1">
        <v>1114.0</v>
      </c>
      <c r="B1116" s="1" t="s">
        <v>927</v>
      </c>
      <c r="C1116" s="1" t="s">
        <v>6</v>
      </c>
      <c r="D1116" s="1">
        <v>2.0</v>
      </c>
      <c r="E1116" s="1" t="s">
        <v>873</v>
      </c>
      <c r="F1116" s="1">
        <v>1556582.0</v>
      </c>
    </row>
    <row r="1117">
      <c r="A1117" s="1">
        <v>1115.0</v>
      </c>
      <c r="B1117" s="1" t="s">
        <v>928</v>
      </c>
      <c r="C1117" s="1" t="s">
        <v>6</v>
      </c>
      <c r="D1117" s="1">
        <v>2.0</v>
      </c>
      <c r="E1117" s="1" t="s">
        <v>873</v>
      </c>
      <c r="F1117" s="1">
        <v>8153.0</v>
      </c>
    </row>
    <row r="1118">
      <c r="A1118" s="1">
        <v>1116.0</v>
      </c>
      <c r="B1118" s="1" t="s">
        <v>929</v>
      </c>
      <c r="C1118" s="1" t="s">
        <v>6</v>
      </c>
      <c r="D1118" s="1">
        <v>2.0</v>
      </c>
      <c r="E1118" s="1" t="s">
        <v>873</v>
      </c>
      <c r="F1118" s="1">
        <v>7547.0</v>
      </c>
    </row>
    <row r="1119">
      <c r="A1119" s="1">
        <v>1117.0</v>
      </c>
      <c r="B1119" s="1" t="s">
        <v>930</v>
      </c>
      <c r="C1119" s="1" t="s">
        <v>6</v>
      </c>
      <c r="D1119" s="1">
        <v>2.0</v>
      </c>
      <c r="E1119" s="1" t="s">
        <v>873</v>
      </c>
      <c r="F1119" s="1">
        <v>1028546.0</v>
      </c>
    </row>
    <row r="1120">
      <c r="A1120" s="1">
        <v>1118.0</v>
      </c>
      <c r="B1120" s="1" t="s">
        <v>931</v>
      </c>
      <c r="C1120" s="1" t="s">
        <v>6</v>
      </c>
      <c r="D1120" s="1">
        <v>2.0</v>
      </c>
      <c r="E1120" s="1" t="s">
        <v>873</v>
      </c>
      <c r="F1120" s="1">
        <v>874317.0</v>
      </c>
    </row>
    <row r="1121">
      <c r="A1121" s="1">
        <v>1119.0</v>
      </c>
      <c r="B1121" s="1" t="s">
        <v>138</v>
      </c>
      <c r="C1121" s="1" t="s">
        <v>6</v>
      </c>
      <c r="D1121" s="1">
        <v>2.0</v>
      </c>
      <c r="E1121" s="1" t="s">
        <v>873</v>
      </c>
      <c r="F1121" s="1">
        <v>267024.0</v>
      </c>
    </row>
    <row r="1122">
      <c r="A1122" s="1">
        <v>1120.0</v>
      </c>
      <c r="B1122" s="1" t="s">
        <v>932</v>
      </c>
      <c r="C1122" s="1" t="s">
        <v>6</v>
      </c>
      <c r="D1122" s="1">
        <v>2.0</v>
      </c>
      <c r="E1122" s="1" t="s">
        <v>873</v>
      </c>
      <c r="F1122" s="1">
        <v>424014.0</v>
      </c>
    </row>
    <row r="1123">
      <c r="A1123" s="1">
        <v>1121.0</v>
      </c>
      <c r="B1123" s="1" t="s">
        <v>933</v>
      </c>
      <c r="C1123" s="1" t="s">
        <v>6</v>
      </c>
      <c r="D1123" s="1">
        <v>2.0</v>
      </c>
      <c r="E1123" s="1" t="s">
        <v>873</v>
      </c>
      <c r="F1123" s="1">
        <v>843305.0</v>
      </c>
    </row>
    <row r="1124">
      <c r="A1124" s="1">
        <v>1122.0</v>
      </c>
      <c r="B1124" s="1" t="s">
        <v>934</v>
      </c>
      <c r="C1124" s="1" t="s">
        <v>6</v>
      </c>
      <c r="D1124" s="1">
        <v>2.0</v>
      </c>
      <c r="E1124" s="1" t="s">
        <v>873</v>
      </c>
      <c r="F1124" s="1">
        <v>1047782.0</v>
      </c>
    </row>
    <row r="1125">
      <c r="A1125" s="1">
        <v>1123.0</v>
      </c>
      <c r="B1125" s="1" t="s">
        <v>935</v>
      </c>
      <c r="C1125" s="1" t="s">
        <v>6</v>
      </c>
      <c r="D1125" s="1">
        <v>2.0</v>
      </c>
      <c r="E1125" s="1" t="s">
        <v>873</v>
      </c>
      <c r="F1125" s="1">
        <v>1034962.0</v>
      </c>
    </row>
    <row r="1126">
      <c r="A1126" s="1">
        <v>1124.0</v>
      </c>
      <c r="B1126" s="1" t="s">
        <v>936</v>
      </c>
      <c r="C1126" s="1" t="s">
        <v>6</v>
      </c>
      <c r="D1126" s="1">
        <v>2.0</v>
      </c>
      <c r="E1126" s="1" t="s">
        <v>873</v>
      </c>
      <c r="F1126" s="1">
        <v>670578.0</v>
      </c>
    </row>
    <row r="1127">
      <c r="A1127" s="1">
        <v>1125.0</v>
      </c>
      <c r="B1127" s="1" t="s">
        <v>937</v>
      </c>
      <c r="C1127" s="1" t="s">
        <v>6</v>
      </c>
      <c r="D1127" s="1">
        <v>2.0</v>
      </c>
      <c r="E1127" s="1" t="s">
        <v>873</v>
      </c>
      <c r="F1127" s="1">
        <v>110790.0</v>
      </c>
    </row>
    <row r="1128">
      <c r="A1128" s="1">
        <v>1126.0</v>
      </c>
      <c r="B1128" s="1" t="s">
        <v>938</v>
      </c>
      <c r="C1128" s="1" t="s">
        <v>6</v>
      </c>
      <c r="D1128" s="1">
        <v>2.0</v>
      </c>
      <c r="E1128" s="1" t="s">
        <v>873</v>
      </c>
      <c r="F1128" s="1">
        <v>70540.0</v>
      </c>
    </row>
    <row r="1129">
      <c r="A1129" s="1">
        <v>1127.0</v>
      </c>
      <c r="B1129" s="1" t="s">
        <v>620</v>
      </c>
      <c r="C1129" s="1" t="s">
        <v>6</v>
      </c>
      <c r="D1129" s="1">
        <v>1.0</v>
      </c>
      <c r="E1129" s="1" t="s">
        <v>873</v>
      </c>
      <c r="F1129" s="1">
        <v>51669.0</v>
      </c>
    </row>
    <row r="1130">
      <c r="A1130" s="1">
        <v>1128.0</v>
      </c>
      <c r="B1130" s="1" t="s">
        <v>330</v>
      </c>
      <c r="C1130" s="1" t="s">
        <v>6</v>
      </c>
      <c r="D1130" s="1">
        <v>1.0</v>
      </c>
      <c r="E1130" s="1" t="s">
        <v>873</v>
      </c>
      <c r="F1130" s="1">
        <v>17892.0</v>
      </c>
    </row>
    <row r="1131">
      <c r="A1131" s="1">
        <v>1129.0</v>
      </c>
      <c r="B1131" s="1" t="s">
        <v>38</v>
      </c>
      <c r="C1131" s="1" t="s">
        <v>6</v>
      </c>
      <c r="D1131" s="1">
        <v>1.0</v>
      </c>
      <c r="E1131" s="1" t="s">
        <v>873</v>
      </c>
      <c r="F1131" s="1">
        <v>74543.0</v>
      </c>
    </row>
    <row r="1132">
      <c r="A1132" s="1">
        <v>1130.0</v>
      </c>
      <c r="B1132" s="1" t="s">
        <v>627</v>
      </c>
      <c r="C1132" s="1" t="s">
        <v>6</v>
      </c>
      <c r="D1132" s="1">
        <v>1.0</v>
      </c>
      <c r="E1132" s="1" t="s">
        <v>873</v>
      </c>
      <c r="F1132" s="1">
        <v>3082142.0</v>
      </c>
    </row>
    <row r="1133">
      <c r="A1133" s="1">
        <v>1131.0</v>
      </c>
      <c r="B1133" s="1" t="s">
        <v>627</v>
      </c>
      <c r="C1133" s="1" t="s">
        <v>6</v>
      </c>
      <c r="D1133" s="1">
        <v>1.0</v>
      </c>
      <c r="E1133" s="1" t="s">
        <v>873</v>
      </c>
      <c r="F1133" s="1">
        <v>87000.0</v>
      </c>
    </row>
    <row r="1134">
      <c r="A1134" s="1">
        <v>1132.0</v>
      </c>
      <c r="B1134" s="1" t="s">
        <v>544</v>
      </c>
      <c r="C1134" s="1" t="s">
        <v>6</v>
      </c>
      <c r="D1134" s="1">
        <v>1.0</v>
      </c>
      <c r="E1134" s="1" t="s">
        <v>873</v>
      </c>
      <c r="F1134" s="1">
        <v>306582.0</v>
      </c>
    </row>
    <row r="1135">
      <c r="A1135" s="1">
        <v>1133.0</v>
      </c>
      <c r="B1135" s="1" t="s">
        <v>5</v>
      </c>
      <c r="C1135" s="1" t="s">
        <v>6</v>
      </c>
      <c r="D1135" s="1">
        <v>1.0</v>
      </c>
      <c r="E1135" s="1" t="s">
        <v>873</v>
      </c>
      <c r="F1135" s="1">
        <v>559071.0</v>
      </c>
    </row>
    <row r="1136">
      <c r="A1136" s="1">
        <v>1134.0</v>
      </c>
      <c r="B1136" s="1" t="s">
        <v>773</v>
      </c>
      <c r="C1136" s="1" t="s">
        <v>6</v>
      </c>
      <c r="D1136" s="1">
        <v>1.0</v>
      </c>
      <c r="E1136" s="1" t="s">
        <v>873</v>
      </c>
      <c r="F1136" s="1">
        <v>1323523.0</v>
      </c>
    </row>
    <row r="1137">
      <c r="A1137" s="1">
        <v>1135.0</v>
      </c>
      <c r="B1137" s="1" t="s">
        <v>53</v>
      </c>
      <c r="C1137" s="1" t="s">
        <v>6</v>
      </c>
      <c r="D1137" s="1">
        <v>1.0</v>
      </c>
      <c r="E1137" s="1" t="s">
        <v>873</v>
      </c>
      <c r="F1137" s="1">
        <v>1712468.0</v>
      </c>
    </row>
    <row r="1138">
      <c r="A1138" s="1">
        <v>1136.0</v>
      </c>
      <c r="B1138" s="1" t="s">
        <v>610</v>
      </c>
      <c r="C1138" s="1" t="s">
        <v>6</v>
      </c>
      <c r="D1138" s="1">
        <v>1.0</v>
      </c>
      <c r="E1138" s="1" t="s">
        <v>873</v>
      </c>
      <c r="F1138" s="1">
        <v>31914.0</v>
      </c>
    </row>
    <row r="1139">
      <c r="A1139" s="1">
        <v>1137.0</v>
      </c>
      <c r="B1139" s="1" t="s">
        <v>101</v>
      </c>
      <c r="C1139" s="1" t="s">
        <v>6</v>
      </c>
      <c r="D1139" s="1">
        <v>1.0</v>
      </c>
      <c r="E1139" s="1" t="s">
        <v>873</v>
      </c>
      <c r="F1139" s="1">
        <v>104913.0</v>
      </c>
    </row>
    <row r="1140">
      <c r="A1140" s="1">
        <v>1138.0</v>
      </c>
      <c r="B1140" s="1" t="s">
        <v>939</v>
      </c>
      <c r="C1140" s="1" t="s">
        <v>6</v>
      </c>
      <c r="D1140" s="1">
        <v>1.0</v>
      </c>
      <c r="E1140" s="1" t="s">
        <v>873</v>
      </c>
      <c r="F1140" s="1">
        <v>468.0</v>
      </c>
    </row>
    <row r="1141">
      <c r="A1141" s="1">
        <v>1139.0</v>
      </c>
      <c r="B1141" s="1" t="s">
        <v>104</v>
      </c>
      <c r="C1141" s="1" t="s">
        <v>6</v>
      </c>
      <c r="D1141" s="1">
        <v>1.0</v>
      </c>
      <c r="E1141" s="1" t="s">
        <v>873</v>
      </c>
      <c r="F1141" s="1">
        <v>26.0</v>
      </c>
    </row>
    <row r="1142">
      <c r="A1142" s="1">
        <v>1140.0</v>
      </c>
      <c r="B1142" s="1" t="s">
        <v>192</v>
      </c>
      <c r="C1142" s="1" t="s">
        <v>6</v>
      </c>
      <c r="D1142" s="1">
        <v>1.0</v>
      </c>
      <c r="E1142" s="1" t="s">
        <v>873</v>
      </c>
      <c r="F1142" s="1">
        <v>734050.0</v>
      </c>
    </row>
    <row r="1143">
      <c r="A1143" s="1">
        <v>1141.0</v>
      </c>
      <c r="B1143" s="1" t="s">
        <v>940</v>
      </c>
      <c r="C1143" s="1" t="s">
        <v>6</v>
      </c>
      <c r="D1143" s="1">
        <v>1.0</v>
      </c>
      <c r="E1143" s="1" t="s">
        <v>873</v>
      </c>
      <c r="F1143" s="1">
        <v>855199.0</v>
      </c>
    </row>
    <row r="1144">
      <c r="A1144" s="1">
        <v>1142.0</v>
      </c>
      <c r="B1144" s="1" t="s">
        <v>246</v>
      </c>
      <c r="C1144" s="1" t="s">
        <v>6</v>
      </c>
      <c r="D1144" s="1">
        <v>1.0</v>
      </c>
      <c r="E1144" s="1" t="s">
        <v>873</v>
      </c>
      <c r="F1144" s="1">
        <v>2522438.0</v>
      </c>
    </row>
    <row r="1145">
      <c r="A1145" s="1">
        <v>1143.0</v>
      </c>
      <c r="B1145" s="1" t="s">
        <v>797</v>
      </c>
      <c r="C1145" s="1" t="s">
        <v>6</v>
      </c>
      <c r="D1145" s="1">
        <v>1.0</v>
      </c>
      <c r="E1145" s="1" t="s">
        <v>873</v>
      </c>
      <c r="F1145" s="1">
        <v>14606.0</v>
      </c>
    </row>
    <row r="1146">
      <c r="A1146" s="1">
        <v>1144.0</v>
      </c>
      <c r="B1146" s="1" t="s">
        <v>941</v>
      </c>
      <c r="C1146" s="1" t="s">
        <v>6</v>
      </c>
      <c r="D1146" s="1">
        <v>1.0</v>
      </c>
      <c r="E1146" s="1" t="s">
        <v>873</v>
      </c>
      <c r="F1146" s="1">
        <v>72579.0</v>
      </c>
    </row>
    <row r="1147">
      <c r="A1147" s="1">
        <v>1145.0</v>
      </c>
      <c r="B1147" s="1" t="s">
        <v>942</v>
      </c>
      <c r="C1147" s="1" t="s">
        <v>6</v>
      </c>
      <c r="D1147" s="1">
        <v>1.0</v>
      </c>
      <c r="E1147" s="1" t="s">
        <v>873</v>
      </c>
      <c r="F1147" s="1">
        <v>16375.0</v>
      </c>
    </row>
    <row r="1148">
      <c r="A1148" s="1">
        <v>1146.0</v>
      </c>
      <c r="B1148" s="1" t="s">
        <v>943</v>
      </c>
      <c r="C1148" s="1" t="s">
        <v>6</v>
      </c>
      <c r="D1148" s="1">
        <v>1.0</v>
      </c>
      <c r="E1148" s="1" t="s">
        <v>873</v>
      </c>
      <c r="F1148" s="1">
        <v>2531779.0</v>
      </c>
    </row>
    <row r="1149">
      <c r="A1149" s="1">
        <v>1147.0</v>
      </c>
      <c r="B1149" s="1" t="s">
        <v>944</v>
      </c>
      <c r="C1149" s="1" t="s">
        <v>6</v>
      </c>
      <c r="D1149" s="1">
        <v>1.0</v>
      </c>
      <c r="E1149" s="1" t="s">
        <v>873</v>
      </c>
      <c r="F1149" s="1">
        <v>1726279.0</v>
      </c>
    </row>
    <row r="1150">
      <c r="A1150" s="1">
        <v>1148.0</v>
      </c>
      <c r="B1150" s="1" t="s">
        <v>844</v>
      </c>
      <c r="C1150" s="1" t="s">
        <v>6</v>
      </c>
      <c r="D1150" s="1">
        <v>1.0</v>
      </c>
      <c r="E1150" s="1" t="s">
        <v>873</v>
      </c>
      <c r="F1150" s="1">
        <v>1704749.0</v>
      </c>
    </row>
    <row r="1151">
      <c r="A1151" s="1">
        <v>1149.0</v>
      </c>
      <c r="B1151" s="1" t="s">
        <v>902</v>
      </c>
      <c r="C1151" s="1" t="s">
        <v>6</v>
      </c>
      <c r="D1151" s="1">
        <v>1.0</v>
      </c>
      <c r="E1151" s="1" t="s">
        <v>873</v>
      </c>
      <c r="F1151" s="1">
        <v>125000.0</v>
      </c>
    </row>
    <row r="1152">
      <c r="A1152" s="1">
        <v>1150.0</v>
      </c>
      <c r="B1152" s="1" t="s">
        <v>20</v>
      </c>
      <c r="C1152" s="1" t="s">
        <v>6</v>
      </c>
      <c r="D1152" s="1">
        <v>32.0</v>
      </c>
      <c r="E1152" s="1" t="s">
        <v>945</v>
      </c>
      <c r="F1152" s="1">
        <v>1643351.0</v>
      </c>
    </row>
    <row r="1153">
      <c r="A1153" s="1">
        <v>1151.0</v>
      </c>
      <c r="B1153" s="1" t="s">
        <v>9</v>
      </c>
      <c r="C1153" s="1" t="s">
        <v>6</v>
      </c>
      <c r="D1153" s="1">
        <v>18.0</v>
      </c>
      <c r="E1153" s="1" t="s">
        <v>945</v>
      </c>
      <c r="F1153" s="1">
        <v>566756.0</v>
      </c>
    </row>
    <row r="1154">
      <c r="A1154" s="1">
        <v>1152.0</v>
      </c>
      <c r="B1154" s="1" t="s">
        <v>14</v>
      </c>
      <c r="C1154" s="1" t="s">
        <v>6</v>
      </c>
      <c r="D1154" s="1">
        <v>10.0</v>
      </c>
      <c r="E1154" s="1" t="s">
        <v>945</v>
      </c>
      <c r="F1154" s="1">
        <v>1055889.0</v>
      </c>
    </row>
    <row r="1155">
      <c r="A1155" s="1">
        <v>1153.0</v>
      </c>
      <c r="B1155" s="1" t="s">
        <v>39</v>
      </c>
      <c r="C1155" s="1" t="s">
        <v>6</v>
      </c>
      <c r="D1155" s="1">
        <v>10.0</v>
      </c>
      <c r="E1155" s="1" t="s">
        <v>945</v>
      </c>
      <c r="F1155" s="1">
        <v>1037441.0</v>
      </c>
    </row>
    <row r="1156">
      <c r="A1156" s="1">
        <v>1154.0</v>
      </c>
      <c r="B1156" s="1" t="s">
        <v>544</v>
      </c>
      <c r="C1156" s="1" t="s">
        <v>6</v>
      </c>
      <c r="D1156" s="1">
        <v>9.0</v>
      </c>
      <c r="E1156" s="1" t="s">
        <v>945</v>
      </c>
      <c r="F1156" s="1">
        <v>1773222.0</v>
      </c>
    </row>
    <row r="1157">
      <c r="A1157" s="1">
        <v>1155.0</v>
      </c>
      <c r="B1157" s="5" t="s">
        <v>909</v>
      </c>
      <c r="C1157" s="1" t="s">
        <v>6</v>
      </c>
      <c r="D1157" s="1">
        <v>8.0</v>
      </c>
      <c r="E1157" s="1" t="s">
        <v>945</v>
      </c>
      <c r="F1157" s="1">
        <v>2383368.0</v>
      </c>
    </row>
    <row r="1158">
      <c r="A1158" s="1">
        <v>1156.0</v>
      </c>
      <c r="B1158" s="1" t="s">
        <v>946</v>
      </c>
      <c r="C1158" s="1" t="s">
        <v>6</v>
      </c>
      <c r="D1158" s="1">
        <v>7.0</v>
      </c>
      <c r="E1158" s="1" t="s">
        <v>945</v>
      </c>
      <c r="F1158" s="1">
        <v>919025.0</v>
      </c>
    </row>
    <row r="1159">
      <c r="A1159" s="1">
        <v>1157.0</v>
      </c>
      <c r="B1159" s="1" t="s">
        <v>149</v>
      </c>
      <c r="C1159" s="1" t="s">
        <v>6</v>
      </c>
      <c r="D1159" s="1">
        <v>6.0</v>
      </c>
      <c r="E1159" s="1" t="s">
        <v>945</v>
      </c>
      <c r="F1159" s="1">
        <v>1193674.0</v>
      </c>
    </row>
    <row r="1160">
      <c r="A1160" s="1">
        <v>1158.0</v>
      </c>
      <c r="B1160" s="1" t="s">
        <v>140</v>
      </c>
      <c r="C1160" s="1" t="s">
        <v>6</v>
      </c>
      <c r="D1160" s="1">
        <v>5.0</v>
      </c>
      <c r="E1160" s="1" t="s">
        <v>945</v>
      </c>
      <c r="F1160" s="1">
        <v>1070583.0</v>
      </c>
    </row>
    <row r="1161">
      <c r="A1161" s="1">
        <v>1159.0</v>
      </c>
      <c r="B1161" s="1" t="s">
        <v>845</v>
      </c>
      <c r="C1161" s="1" t="s">
        <v>6</v>
      </c>
      <c r="D1161" s="1">
        <v>5.0</v>
      </c>
      <c r="E1161" s="1" t="s">
        <v>945</v>
      </c>
      <c r="F1161" s="1">
        <v>9.0</v>
      </c>
    </row>
    <row r="1162">
      <c r="A1162" s="1">
        <v>1160.0</v>
      </c>
      <c r="B1162" s="1" t="s">
        <v>947</v>
      </c>
      <c r="C1162" s="1" t="s">
        <v>6</v>
      </c>
      <c r="D1162" s="1">
        <v>5.0</v>
      </c>
      <c r="E1162" s="1" t="s">
        <v>945</v>
      </c>
      <c r="F1162" s="1">
        <v>98.0</v>
      </c>
    </row>
    <row r="1163">
      <c r="A1163" s="1">
        <v>1161.0</v>
      </c>
      <c r="B1163" s="1" t="s">
        <v>12</v>
      </c>
      <c r="C1163" s="1" t="s">
        <v>6</v>
      </c>
      <c r="D1163" s="1">
        <v>4.0</v>
      </c>
      <c r="E1163" s="1" t="s">
        <v>945</v>
      </c>
      <c r="F1163" s="1">
        <v>102.0</v>
      </c>
    </row>
    <row r="1164">
      <c r="A1164" s="1">
        <v>1162.0</v>
      </c>
      <c r="B1164" s="1" t="s">
        <v>16</v>
      </c>
      <c r="C1164" s="1" t="s">
        <v>6</v>
      </c>
      <c r="D1164" s="1">
        <v>4.0</v>
      </c>
      <c r="E1164" s="1" t="s">
        <v>945</v>
      </c>
      <c r="F1164" s="1">
        <v>830959.0</v>
      </c>
    </row>
    <row r="1165">
      <c r="A1165" s="1">
        <v>1163.0</v>
      </c>
      <c r="B1165" s="1" t="s">
        <v>29</v>
      </c>
      <c r="C1165" s="1" t="s">
        <v>6</v>
      </c>
      <c r="D1165" s="1">
        <v>4.0</v>
      </c>
      <c r="E1165" s="1" t="s">
        <v>945</v>
      </c>
      <c r="F1165" s="1">
        <v>1191942.0</v>
      </c>
    </row>
    <row r="1166">
      <c r="A1166" s="1">
        <v>1164.0</v>
      </c>
      <c r="B1166" s="1" t="s">
        <v>176</v>
      </c>
      <c r="C1166" s="1" t="s">
        <v>6</v>
      </c>
      <c r="D1166" s="1">
        <v>4.0</v>
      </c>
      <c r="E1166" s="1" t="s">
        <v>945</v>
      </c>
      <c r="F1166" s="1">
        <v>1210857.0</v>
      </c>
    </row>
    <row r="1167">
      <c r="A1167" s="1">
        <v>1165.0</v>
      </c>
      <c r="B1167" s="1" t="s">
        <v>944</v>
      </c>
      <c r="C1167" s="1" t="s">
        <v>6</v>
      </c>
      <c r="D1167" s="1">
        <v>4.0</v>
      </c>
      <c r="E1167" s="1" t="s">
        <v>945</v>
      </c>
      <c r="F1167" s="1">
        <v>294111.0</v>
      </c>
    </row>
    <row r="1168">
      <c r="A1168" s="1">
        <v>1166.0</v>
      </c>
      <c r="B1168" s="1" t="s">
        <v>948</v>
      </c>
      <c r="C1168" s="1" t="s">
        <v>6</v>
      </c>
      <c r="D1168" s="1">
        <v>4.0</v>
      </c>
      <c r="E1168" s="1" t="s">
        <v>945</v>
      </c>
      <c r="F1168" s="1">
        <v>1180704.0</v>
      </c>
    </row>
    <row r="1169">
      <c r="A1169" s="1">
        <v>1167.0</v>
      </c>
      <c r="B1169" s="1" t="s">
        <v>949</v>
      </c>
      <c r="C1169" s="1" t="s">
        <v>6</v>
      </c>
      <c r="D1169" s="1">
        <v>4.0</v>
      </c>
      <c r="E1169" s="1" t="s">
        <v>945</v>
      </c>
      <c r="F1169" s="1">
        <v>1458789.0</v>
      </c>
    </row>
    <row r="1170">
      <c r="A1170" s="1">
        <v>1168.0</v>
      </c>
      <c r="B1170" s="1" t="s">
        <v>950</v>
      </c>
      <c r="C1170" s="1" t="s">
        <v>6</v>
      </c>
      <c r="D1170" s="1">
        <v>4.0</v>
      </c>
      <c r="E1170" s="1" t="s">
        <v>945</v>
      </c>
      <c r="F1170" s="1">
        <v>974832.0</v>
      </c>
    </row>
    <row r="1171">
      <c r="A1171" s="1">
        <v>1169.0</v>
      </c>
      <c r="B1171" s="1" t="s">
        <v>498</v>
      </c>
      <c r="C1171" s="1" t="s">
        <v>6</v>
      </c>
      <c r="D1171" s="1">
        <v>4.0</v>
      </c>
      <c r="E1171" s="1" t="s">
        <v>945</v>
      </c>
      <c r="F1171" s="1">
        <v>45684.0</v>
      </c>
    </row>
    <row r="1172">
      <c r="A1172" s="1">
        <v>1170.0</v>
      </c>
      <c r="B1172" s="1" t="s">
        <v>951</v>
      </c>
      <c r="C1172" s="1" t="s">
        <v>6</v>
      </c>
      <c r="D1172" s="1">
        <v>4.0</v>
      </c>
      <c r="E1172" s="1" t="s">
        <v>945</v>
      </c>
      <c r="F1172" s="1">
        <v>650654.0</v>
      </c>
    </row>
    <row r="1173">
      <c r="A1173" s="1">
        <v>1171.0</v>
      </c>
      <c r="B1173" s="1" t="s">
        <v>952</v>
      </c>
      <c r="C1173" s="1" t="s">
        <v>6</v>
      </c>
      <c r="D1173" s="1">
        <v>4.0</v>
      </c>
      <c r="E1173" s="1" t="s">
        <v>945</v>
      </c>
      <c r="F1173" s="1">
        <v>926744.0</v>
      </c>
    </row>
    <row r="1174">
      <c r="A1174" s="1">
        <v>1172.0</v>
      </c>
      <c r="B1174" s="5" t="s">
        <v>953</v>
      </c>
      <c r="C1174" s="1" t="s">
        <v>6</v>
      </c>
      <c r="D1174" s="1">
        <v>4.0</v>
      </c>
      <c r="E1174" s="1" t="s">
        <v>945</v>
      </c>
      <c r="F1174" s="1">
        <v>838354.0</v>
      </c>
    </row>
    <row r="1175">
      <c r="A1175" s="1">
        <v>1173.0</v>
      </c>
      <c r="B1175" s="1" t="s">
        <v>27</v>
      </c>
      <c r="C1175" s="1" t="s">
        <v>6</v>
      </c>
      <c r="D1175" s="1">
        <v>3.0</v>
      </c>
      <c r="E1175" s="1" t="s">
        <v>945</v>
      </c>
      <c r="F1175" s="1">
        <v>30368.0</v>
      </c>
    </row>
    <row r="1176">
      <c r="A1176" s="1">
        <v>1174.0</v>
      </c>
      <c r="B1176" s="1" t="s">
        <v>8</v>
      </c>
      <c r="C1176" s="1" t="s">
        <v>6</v>
      </c>
      <c r="D1176" s="1">
        <v>3.0</v>
      </c>
      <c r="E1176" s="1" t="s">
        <v>945</v>
      </c>
      <c r="F1176" s="1">
        <v>1193120.0</v>
      </c>
    </row>
    <row r="1177">
      <c r="A1177" s="1">
        <v>1175.0</v>
      </c>
      <c r="B1177" s="1" t="s">
        <v>125</v>
      </c>
      <c r="C1177" s="1" t="s">
        <v>6</v>
      </c>
      <c r="D1177" s="1">
        <v>3.0</v>
      </c>
      <c r="E1177" s="1" t="s">
        <v>945</v>
      </c>
      <c r="F1177" s="1">
        <v>1449831.0</v>
      </c>
    </row>
    <row r="1178">
      <c r="A1178" s="1">
        <v>1176.0</v>
      </c>
      <c r="B1178" s="1" t="s">
        <v>612</v>
      </c>
      <c r="C1178" s="1" t="s">
        <v>6</v>
      </c>
      <c r="D1178" s="1">
        <v>3.0</v>
      </c>
      <c r="E1178" s="1" t="s">
        <v>945</v>
      </c>
      <c r="F1178" s="1">
        <v>875733.0</v>
      </c>
    </row>
    <row r="1179">
      <c r="A1179" s="1">
        <v>1177.0</v>
      </c>
      <c r="B1179" s="1" t="s">
        <v>101</v>
      </c>
      <c r="C1179" s="1" t="s">
        <v>6</v>
      </c>
      <c r="D1179" s="1">
        <v>3.0</v>
      </c>
      <c r="E1179" s="1" t="s">
        <v>945</v>
      </c>
      <c r="F1179" s="1">
        <v>257.0</v>
      </c>
    </row>
    <row r="1180">
      <c r="A1180" s="1">
        <v>1178.0</v>
      </c>
      <c r="B1180" s="1" t="s">
        <v>267</v>
      </c>
      <c r="C1180" s="1" t="s">
        <v>6</v>
      </c>
      <c r="D1180" s="1">
        <v>3.0</v>
      </c>
      <c r="E1180" s="1" t="s">
        <v>945</v>
      </c>
      <c r="F1180" s="1">
        <v>1022850.0</v>
      </c>
    </row>
    <row r="1181">
      <c r="A1181" s="1">
        <v>1179.0</v>
      </c>
      <c r="B1181" s="1" t="s">
        <v>954</v>
      </c>
      <c r="C1181" s="1" t="s">
        <v>6</v>
      </c>
      <c r="D1181" s="1">
        <v>3.0</v>
      </c>
      <c r="E1181" s="1" t="s">
        <v>945</v>
      </c>
      <c r="F1181" s="1">
        <v>1782011.0</v>
      </c>
    </row>
    <row r="1182">
      <c r="A1182" s="1">
        <v>1180.0</v>
      </c>
      <c r="B1182" s="1" t="s">
        <v>955</v>
      </c>
      <c r="C1182" s="1" t="s">
        <v>6</v>
      </c>
      <c r="D1182" s="1">
        <v>3.0</v>
      </c>
      <c r="E1182" s="1" t="s">
        <v>945</v>
      </c>
      <c r="F1182" s="1">
        <v>957432.0</v>
      </c>
    </row>
    <row r="1183">
      <c r="A1183" s="1">
        <v>1181.0</v>
      </c>
      <c r="B1183" s="1" t="s">
        <v>956</v>
      </c>
      <c r="C1183" s="1" t="s">
        <v>6</v>
      </c>
      <c r="D1183" s="1">
        <v>3.0</v>
      </c>
      <c r="E1183" s="1" t="s">
        <v>945</v>
      </c>
      <c r="F1183" s="1">
        <v>886778.0</v>
      </c>
    </row>
    <row r="1184">
      <c r="A1184" s="1">
        <v>1182.0</v>
      </c>
      <c r="B1184" s="1" t="s">
        <v>412</v>
      </c>
      <c r="C1184" s="1" t="s">
        <v>6</v>
      </c>
      <c r="D1184" s="1">
        <v>3.0</v>
      </c>
      <c r="E1184" s="1" t="s">
        <v>945</v>
      </c>
      <c r="F1184" s="1">
        <v>72216.0</v>
      </c>
    </row>
    <row r="1185">
      <c r="A1185" s="1">
        <v>1183.0</v>
      </c>
      <c r="B1185" s="1" t="s">
        <v>412</v>
      </c>
      <c r="C1185" s="1" t="s">
        <v>6</v>
      </c>
      <c r="D1185" s="1">
        <v>3.0</v>
      </c>
      <c r="E1185" s="1" t="s">
        <v>945</v>
      </c>
      <c r="F1185" s="1">
        <v>1160523.0</v>
      </c>
    </row>
    <row r="1186">
      <c r="A1186" s="1">
        <v>1184.0</v>
      </c>
      <c r="B1186" s="1" t="s">
        <v>957</v>
      </c>
      <c r="C1186" s="1" t="s">
        <v>6</v>
      </c>
      <c r="D1186" s="1">
        <v>3.0</v>
      </c>
      <c r="E1186" s="1" t="s">
        <v>945</v>
      </c>
      <c r="F1186" s="1">
        <v>894949.0</v>
      </c>
    </row>
    <row r="1187">
      <c r="A1187" s="1">
        <v>1185.0</v>
      </c>
      <c r="B1187" s="1" t="s">
        <v>958</v>
      </c>
      <c r="C1187" s="1" t="s">
        <v>6</v>
      </c>
      <c r="D1187" s="1">
        <v>3.0</v>
      </c>
      <c r="E1187" s="1" t="s">
        <v>945</v>
      </c>
      <c r="F1187" s="1">
        <v>1223523.0</v>
      </c>
    </row>
    <row r="1188">
      <c r="A1188" s="1">
        <v>1186.0</v>
      </c>
      <c r="B1188" s="1" t="s">
        <v>959</v>
      </c>
      <c r="C1188" s="1" t="s">
        <v>6</v>
      </c>
      <c r="D1188" s="1">
        <v>3.0</v>
      </c>
      <c r="E1188" s="1" t="s">
        <v>945</v>
      </c>
      <c r="F1188" s="1">
        <v>108.0</v>
      </c>
    </row>
    <row r="1189">
      <c r="A1189" s="1">
        <v>1187.0</v>
      </c>
      <c r="B1189" s="1" t="s">
        <v>9</v>
      </c>
      <c r="C1189" s="1" t="s">
        <v>6</v>
      </c>
      <c r="D1189" s="1">
        <v>2.0</v>
      </c>
      <c r="E1189" s="1" t="s">
        <v>945</v>
      </c>
      <c r="F1189" s="1">
        <v>18737.0</v>
      </c>
    </row>
    <row r="1190">
      <c r="A1190" s="1">
        <v>1188.0</v>
      </c>
      <c r="B1190" s="1" t="s">
        <v>620</v>
      </c>
      <c r="C1190" s="1" t="s">
        <v>6</v>
      </c>
      <c r="D1190" s="1">
        <v>2.0</v>
      </c>
      <c r="E1190" s="1" t="s">
        <v>945</v>
      </c>
      <c r="F1190" s="1">
        <v>885892.0</v>
      </c>
    </row>
    <row r="1191">
      <c r="A1191" s="1">
        <v>1189.0</v>
      </c>
      <c r="B1191" s="1" t="s">
        <v>65</v>
      </c>
      <c r="C1191" s="1" t="s">
        <v>6</v>
      </c>
      <c r="D1191" s="1">
        <v>2.0</v>
      </c>
      <c r="E1191" s="1" t="s">
        <v>945</v>
      </c>
      <c r="F1191" s="1">
        <v>1025737.0</v>
      </c>
    </row>
    <row r="1192">
      <c r="A1192" s="1">
        <v>1190.0</v>
      </c>
      <c r="B1192" s="1" t="s">
        <v>330</v>
      </c>
      <c r="C1192" s="1" t="s">
        <v>6</v>
      </c>
      <c r="D1192" s="1">
        <v>2.0</v>
      </c>
      <c r="E1192" s="1" t="s">
        <v>945</v>
      </c>
      <c r="F1192" s="1">
        <v>49111.0</v>
      </c>
    </row>
    <row r="1193">
      <c r="A1193" s="1">
        <v>1191.0</v>
      </c>
      <c r="B1193" s="1" t="s">
        <v>31</v>
      </c>
      <c r="C1193" s="1" t="s">
        <v>6</v>
      </c>
      <c r="D1193" s="1">
        <v>2.0</v>
      </c>
      <c r="E1193" s="1" t="s">
        <v>945</v>
      </c>
      <c r="F1193" s="1">
        <v>216685.0</v>
      </c>
    </row>
    <row r="1194">
      <c r="A1194" s="1">
        <v>1192.0</v>
      </c>
      <c r="B1194" s="1" t="s">
        <v>627</v>
      </c>
      <c r="C1194" s="1" t="s">
        <v>6</v>
      </c>
      <c r="D1194" s="1">
        <v>2.0</v>
      </c>
      <c r="E1194" s="1" t="s">
        <v>945</v>
      </c>
      <c r="F1194" s="1">
        <v>1036761.0</v>
      </c>
    </row>
    <row r="1195">
      <c r="A1195" s="1">
        <v>1193.0</v>
      </c>
      <c r="B1195" s="1" t="s">
        <v>663</v>
      </c>
      <c r="C1195" s="1" t="s">
        <v>6</v>
      </c>
      <c r="D1195" s="1">
        <v>2.0</v>
      </c>
      <c r="E1195" s="1" t="s">
        <v>945</v>
      </c>
      <c r="F1195" s="1">
        <v>66648.0</v>
      </c>
    </row>
    <row r="1196">
      <c r="A1196" s="1">
        <v>1194.0</v>
      </c>
      <c r="B1196" s="1" t="s">
        <v>576</v>
      </c>
      <c r="C1196" s="1" t="s">
        <v>6</v>
      </c>
      <c r="D1196" s="1">
        <v>2.0</v>
      </c>
      <c r="E1196" s="1" t="s">
        <v>945</v>
      </c>
      <c r="F1196" s="1">
        <v>494353.0</v>
      </c>
    </row>
    <row r="1197">
      <c r="A1197" s="1">
        <v>1195.0</v>
      </c>
      <c r="B1197" s="1" t="s">
        <v>960</v>
      </c>
      <c r="C1197" s="1" t="s">
        <v>6</v>
      </c>
      <c r="D1197" s="1">
        <v>2.0</v>
      </c>
      <c r="E1197" s="1" t="s">
        <v>945</v>
      </c>
      <c r="F1197" s="1">
        <v>4187500.0</v>
      </c>
    </row>
    <row r="1198">
      <c r="A1198" s="1">
        <v>1196.0</v>
      </c>
      <c r="B1198" s="1" t="s">
        <v>954</v>
      </c>
      <c r="C1198" s="1" t="s">
        <v>6</v>
      </c>
      <c r="D1198" s="1">
        <v>2.0</v>
      </c>
      <c r="E1198" s="1" t="s">
        <v>945</v>
      </c>
      <c r="F1198" s="1">
        <v>41940.0</v>
      </c>
    </row>
    <row r="1199">
      <c r="A1199" s="1">
        <v>1197.0</v>
      </c>
      <c r="B1199" s="1" t="s">
        <v>20</v>
      </c>
      <c r="C1199" s="1" t="s">
        <v>6</v>
      </c>
      <c r="D1199" s="1">
        <v>2.0</v>
      </c>
      <c r="E1199" s="1" t="s">
        <v>945</v>
      </c>
      <c r="F1199" s="1">
        <v>39822.0</v>
      </c>
    </row>
    <row r="1200">
      <c r="A1200" s="1">
        <v>1198.0</v>
      </c>
      <c r="B1200" s="1" t="s">
        <v>131</v>
      </c>
      <c r="C1200" s="1" t="s">
        <v>6</v>
      </c>
      <c r="D1200" s="1">
        <v>2.0</v>
      </c>
      <c r="E1200" s="1" t="s">
        <v>945</v>
      </c>
      <c r="F1200" s="1">
        <v>1717206.0</v>
      </c>
    </row>
    <row r="1201">
      <c r="A1201" s="1">
        <v>1199.0</v>
      </c>
      <c r="B1201" s="1" t="s">
        <v>961</v>
      </c>
      <c r="C1201" s="1" t="s">
        <v>6</v>
      </c>
      <c r="D1201" s="1">
        <v>2.0</v>
      </c>
      <c r="E1201" s="1" t="s">
        <v>945</v>
      </c>
      <c r="F1201" s="1">
        <v>1406673.0</v>
      </c>
    </row>
    <row r="1202">
      <c r="A1202" s="1">
        <v>1200.0</v>
      </c>
      <c r="B1202" s="1" t="s">
        <v>962</v>
      </c>
      <c r="C1202" s="1" t="s">
        <v>6</v>
      </c>
      <c r="D1202" s="1">
        <v>2.0</v>
      </c>
      <c r="E1202" s="1" t="s">
        <v>945</v>
      </c>
      <c r="F1202" s="1">
        <v>1734062.0</v>
      </c>
    </row>
    <row r="1203">
      <c r="A1203" s="1">
        <v>1201.0</v>
      </c>
      <c r="B1203" s="1" t="s">
        <v>963</v>
      </c>
      <c r="C1203" s="1" t="s">
        <v>6</v>
      </c>
      <c r="D1203" s="1">
        <v>2.0</v>
      </c>
      <c r="E1203" s="1" t="s">
        <v>945</v>
      </c>
      <c r="F1203" s="1">
        <v>649989.0</v>
      </c>
    </row>
    <row r="1204">
      <c r="A1204" s="1">
        <v>1202.0</v>
      </c>
      <c r="B1204" s="1" t="s">
        <v>360</v>
      </c>
      <c r="C1204" s="1" t="s">
        <v>6</v>
      </c>
      <c r="D1204" s="1">
        <v>2.0</v>
      </c>
      <c r="E1204" s="1" t="s">
        <v>945</v>
      </c>
      <c r="F1204" s="1">
        <v>64952.0</v>
      </c>
    </row>
    <row r="1205">
      <c r="A1205" s="1">
        <v>1203.0</v>
      </c>
      <c r="B1205" s="1" t="s">
        <v>964</v>
      </c>
      <c r="C1205" s="1" t="s">
        <v>6</v>
      </c>
      <c r="D1205" s="1">
        <v>2.0</v>
      </c>
      <c r="E1205" s="1" t="s">
        <v>945</v>
      </c>
      <c r="F1205" s="1">
        <v>977421.0</v>
      </c>
    </row>
    <row r="1206">
      <c r="A1206" s="1">
        <v>1204.0</v>
      </c>
      <c r="B1206" s="1" t="s">
        <v>965</v>
      </c>
      <c r="C1206" s="1" t="s">
        <v>6</v>
      </c>
      <c r="D1206" s="1">
        <v>2.0</v>
      </c>
      <c r="E1206" s="1" t="s">
        <v>945</v>
      </c>
      <c r="F1206" s="1">
        <v>1451194.0</v>
      </c>
    </row>
    <row r="1207">
      <c r="A1207" s="1">
        <v>1205.0</v>
      </c>
      <c r="B1207" s="1" t="s">
        <v>966</v>
      </c>
      <c r="C1207" s="1" t="s">
        <v>6</v>
      </c>
      <c r="D1207" s="1">
        <v>2.0</v>
      </c>
      <c r="E1207" s="1" t="s">
        <v>945</v>
      </c>
      <c r="F1207" s="1">
        <v>1126055.0</v>
      </c>
    </row>
    <row r="1208">
      <c r="A1208" s="1">
        <v>1206.0</v>
      </c>
      <c r="B1208" s="1" t="s">
        <v>967</v>
      </c>
      <c r="C1208" s="1" t="s">
        <v>6</v>
      </c>
      <c r="D1208" s="1">
        <v>2.0</v>
      </c>
      <c r="E1208" s="1" t="s">
        <v>945</v>
      </c>
      <c r="F1208" s="1">
        <v>1314654.0</v>
      </c>
    </row>
    <row r="1209">
      <c r="A1209" s="1">
        <v>1207.0</v>
      </c>
      <c r="B1209" s="1" t="s">
        <v>421</v>
      </c>
      <c r="C1209" s="1" t="s">
        <v>6</v>
      </c>
      <c r="D1209" s="1">
        <v>2.0</v>
      </c>
      <c r="E1209" s="1" t="s">
        <v>945</v>
      </c>
      <c r="F1209" s="1">
        <v>240.0</v>
      </c>
    </row>
    <row r="1210">
      <c r="A1210" s="1">
        <v>1208.0</v>
      </c>
      <c r="B1210" s="1" t="s">
        <v>968</v>
      </c>
      <c r="C1210" s="1" t="s">
        <v>6</v>
      </c>
      <c r="D1210" s="1">
        <v>2.0</v>
      </c>
      <c r="E1210" s="1" t="s">
        <v>945</v>
      </c>
      <c r="F1210" s="1">
        <v>991653.0</v>
      </c>
    </row>
    <row r="1211">
      <c r="A1211" s="1">
        <v>1209.0</v>
      </c>
      <c r="B1211" s="1" t="s">
        <v>969</v>
      </c>
      <c r="C1211" s="1" t="s">
        <v>6</v>
      </c>
      <c r="D1211" s="1">
        <v>2.0</v>
      </c>
      <c r="E1211" s="1" t="s">
        <v>945</v>
      </c>
      <c r="F1211" s="1">
        <v>110833.0</v>
      </c>
    </row>
    <row r="1212">
      <c r="A1212" s="1">
        <v>1210.0</v>
      </c>
      <c r="B1212" s="1" t="s">
        <v>970</v>
      </c>
      <c r="C1212" s="1" t="s">
        <v>6</v>
      </c>
      <c r="D1212" s="1">
        <v>2.0</v>
      </c>
      <c r="E1212" s="1" t="s">
        <v>945</v>
      </c>
      <c r="F1212" s="1">
        <v>465001.0</v>
      </c>
    </row>
    <row r="1213">
      <c r="A1213" s="1">
        <v>1211.0</v>
      </c>
      <c r="B1213" s="1" t="s">
        <v>971</v>
      </c>
      <c r="C1213" s="1" t="s">
        <v>6</v>
      </c>
      <c r="D1213" s="1">
        <v>2.0</v>
      </c>
      <c r="E1213" s="1" t="s">
        <v>945</v>
      </c>
      <c r="F1213" s="1">
        <v>730703.0</v>
      </c>
    </row>
    <row r="1214">
      <c r="A1214" s="1">
        <v>1212.0</v>
      </c>
      <c r="B1214" s="1" t="s">
        <v>972</v>
      </c>
      <c r="C1214" s="1" t="s">
        <v>6</v>
      </c>
      <c r="D1214" s="1">
        <v>2.0</v>
      </c>
      <c r="E1214" s="1" t="s">
        <v>945</v>
      </c>
      <c r="F1214" s="1">
        <v>960996.0</v>
      </c>
    </row>
    <row r="1215">
      <c r="A1215" s="1">
        <v>1213.0</v>
      </c>
      <c r="B1215" s="1" t="s">
        <v>973</v>
      </c>
      <c r="C1215" s="1" t="s">
        <v>6</v>
      </c>
      <c r="D1215" s="1">
        <v>2.0</v>
      </c>
      <c r="E1215" s="1" t="s">
        <v>945</v>
      </c>
      <c r="F1215" s="1">
        <v>56676.0</v>
      </c>
    </row>
    <row r="1216">
      <c r="A1216" s="1">
        <v>1214.0</v>
      </c>
      <c r="B1216" s="1" t="s">
        <v>974</v>
      </c>
      <c r="C1216" s="1" t="s">
        <v>6</v>
      </c>
      <c r="D1216" s="1">
        <v>2.0</v>
      </c>
      <c r="E1216" s="1" t="s">
        <v>945</v>
      </c>
      <c r="F1216" s="1">
        <v>304060.0</v>
      </c>
    </row>
    <row r="1217">
      <c r="A1217" s="1">
        <v>1215.0</v>
      </c>
      <c r="B1217" s="1" t="s">
        <v>975</v>
      </c>
      <c r="C1217" s="1" t="s">
        <v>6</v>
      </c>
      <c r="D1217" s="1">
        <v>2.0</v>
      </c>
      <c r="E1217" s="1" t="s">
        <v>945</v>
      </c>
      <c r="F1217" s="1">
        <v>2865536.0</v>
      </c>
    </row>
    <row r="1218">
      <c r="A1218" s="1">
        <v>1216.0</v>
      </c>
      <c r="B1218" s="1" t="s">
        <v>976</v>
      </c>
      <c r="C1218" s="1" t="s">
        <v>6</v>
      </c>
      <c r="D1218" s="1">
        <v>2.0</v>
      </c>
      <c r="E1218" s="1" t="s">
        <v>945</v>
      </c>
      <c r="F1218" s="1">
        <v>827693.0</v>
      </c>
    </row>
    <row r="1219">
      <c r="A1219" s="1">
        <v>1217.0</v>
      </c>
      <c r="B1219" s="1" t="s">
        <v>977</v>
      </c>
      <c r="C1219" s="1" t="s">
        <v>6</v>
      </c>
      <c r="D1219" s="1">
        <v>2.0</v>
      </c>
      <c r="E1219" s="1" t="s">
        <v>945</v>
      </c>
      <c r="F1219" s="1">
        <v>676720.0</v>
      </c>
    </row>
    <row r="1220">
      <c r="A1220" s="1">
        <v>1218.0</v>
      </c>
      <c r="B1220" s="1" t="s">
        <v>978</v>
      </c>
      <c r="C1220" s="1" t="s">
        <v>6</v>
      </c>
      <c r="D1220" s="1">
        <v>2.0</v>
      </c>
      <c r="E1220" s="1" t="s">
        <v>945</v>
      </c>
      <c r="F1220" s="1">
        <v>606168.0</v>
      </c>
    </row>
    <row r="1221">
      <c r="A1221" s="1">
        <v>1219.0</v>
      </c>
      <c r="B1221" s="1" t="s">
        <v>979</v>
      </c>
      <c r="C1221" s="1" t="s">
        <v>6</v>
      </c>
      <c r="D1221" s="1">
        <v>2.0</v>
      </c>
      <c r="E1221" s="1" t="s">
        <v>945</v>
      </c>
      <c r="F1221" s="1">
        <v>835493.0</v>
      </c>
    </row>
    <row r="1222">
      <c r="A1222" s="1">
        <v>1220.0</v>
      </c>
      <c r="B1222" s="1" t="s">
        <v>980</v>
      </c>
      <c r="C1222" s="1" t="s">
        <v>6</v>
      </c>
      <c r="D1222" s="1">
        <v>2.0</v>
      </c>
      <c r="E1222" s="1" t="s">
        <v>945</v>
      </c>
      <c r="F1222" s="1">
        <v>40725.0</v>
      </c>
    </row>
    <row r="1223">
      <c r="A1223" s="1">
        <v>1221.0</v>
      </c>
      <c r="B1223" s="1" t="s">
        <v>981</v>
      </c>
      <c r="C1223" s="1" t="s">
        <v>6</v>
      </c>
      <c r="D1223" s="1">
        <v>2.0</v>
      </c>
      <c r="E1223" s="1" t="s">
        <v>945</v>
      </c>
      <c r="F1223" s="1">
        <v>18926.0</v>
      </c>
    </row>
    <row r="1224">
      <c r="A1224" s="1">
        <v>1222.0</v>
      </c>
      <c r="B1224" s="1" t="s">
        <v>982</v>
      </c>
      <c r="C1224" s="1" t="s">
        <v>6</v>
      </c>
      <c r="D1224" s="1">
        <v>2.0</v>
      </c>
      <c r="E1224" s="1" t="s">
        <v>945</v>
      </c>
      <c r="F1224" s="1">
        <v>1494696.0</v>
      </c>
    </row>
    <row r="1225">
      <c r="A1225" s="1">
        <v>1223.0</v>
      </c>
      <c r="B1225" s="1" t="s">
        <v>983</v>
      </c>
      <c r="C1225" s="1" t="s">
        <v>6</v>
      </c>
      <c r="D1225" s="1">
        <v>2.0</v>
      </c>
      <c r="E1225" s="1" t="s">
        <v>945</v>
      </c>
      <c r="F1225" s="1">
        <v>2075185.0</v>
      </c>
    </row>
    <row r="1226">
      <c r="A1226" s="1">
        <v>1224.0</v>
      </c>
      <c r="B1226" s="1" t="s">
        <v>984</v>
      </c>
      <c r="C1226" s="1" t="s">
        <v>6</v>
      </c>
      <c r="D1226" s="1">
        <v>2.0</v>
      </c>
      <c r="E1226" s="1" t="s">
        <v>945</v>
      </c>
      <c r="F1226" s="1">
        <v>1961487.0</v>
      </c>
    </row>
    <row r="1227">
      <c r="A1227" s="1">
        <v>1225.0</v>
      </c>
      <c r="B1227" s="1" t="s">
        <v>985</v>
      </c>
      <c r="C1227" s="1" t="s">
        <v>6</v>
      </c>
      <c r="D1227" s="1">
        <v>2.0</v>
      </c>
      <c r="E1227" s="1" t="s">
        <v>945</v>
      </c>
      <c r="F1227" s="1">
        <v>30834.0</v>
      </c>
    </row>
    <row r="1228">
      <c r="A1228" s="1">
        <v>1226.0</v>
      </c>
      <c r="B1228" s="1" t="s">
        <v>11</v>
      </c>
      <c r="C1228" s="1" t="s">
        <v>6</v>
      </c>
      <c r="D1228" s="1">
        <v>1.0</v>
      </c>
      <c r="E1228" s="1" t="s">
        <v>945</v>
      </c>
      <c r="F1228" s="1">
        <v>1.0</v>
      </c>
    </row>
    <row r="1229">
      <c r="A1229" s="1">
        <v>1227.0</v>
      </c>
      <c r="B1229" s="1" t="s">
        <v>8</v>
      </c>
      <c r="C1229" s="1" t="s">
        <v>6</v>
      </c>
      <c r="D1229" s="1">
        <v>1.0</v>
      </c>
      <c r="E1229" s="1" t="s">
        <v>945</v>
      </c>
      <c r="F1229" s="1">
        <v>702485.0</v>
      </c>
    </row>
    <row r="1230">
      <c r="A1230" s="1">
        <v>1228.0</v>
      </c>
      <c r="B1230" s="1" t="s">
        <v>59</v>
      </c>
      <c r="C1230" s="1" t="s">
        <v>6</v>
      </c>
      <c r="D1230" s="1">
        <v>1.0</v>
      </c>
      <c r="E1230" s="1" t="s">
        <v>945</v>
      </c>
      <c r="F1230" s="1">
        <v>1417138.0</v>
      </c>
    </row>
    <row r="1231">
      <c r="A1231" s="1">
        <v>1229.0</v>
      </c>
      <c r="B1231" s="1" t="s">
        <v>577</v>
      </c>
      <c r="C1231" s="1" t="s">
        <v>6</v>
      </c>
      <c r="D1231" s="1">
        <v>1.0</v>
      </c>
      <c r="E1231" s="1" t="s">
        <v>945</v>
      </c>
      <c r="F1231" s="1">
        <v>613163.0</v>
      </c>
    </row>
    <row r="1232">
      <c r="A1232" s="1">
        <v>1230.0</v>
      </c>
      <c r="B1232" s="1" t="s">
        <v>95</v>
      </c>
      <c r="C1232" s="1" t="s">
        <v>6</v>
      </c>
      <c r="D1232" s="1">
        <v>1.0</v>
      </c>
      <c r="E1232" s="1" t="s">
        <v>945</v>
      </c>
      <c r="F1232" s="1">
        <v>2186509.0</v>
      </c>
    </row>
    <row r="1233">
      <c r="A1233" s="1">
        <v>1231.0</v>
      </c>
      <c r="B1233" s="1" t="s">
        <v>95</v>
      </c>
      <c r="C1233" s="1" t="s">
        <v>6</v>
      </c>
      <c r="D1233" s="1">
        <v>1.0</v>
      </c>
      <c r="E1233" s="1" t="s">
        <v>945</v>
      </c>
      <c r="F1233" s="1">
        <v>81105.0</v>
      </c>
    </row>
    <row r="1234">
      <c r="A1234" s="1">
        <v>1232.0</v>
      </c>
      <c r="B1234" s="1" t="s">
        <v>62</v>
      </c>
      <c r="C1234" s="1" t="s">
        <v>6</v>
      </c>
      <c r="D1234" s="1">
        <v>1.0</v>
      </c>
      <c r="E1234" s="1" t="s">
        <v>945</v>
      </c>
      <c r="F1234" s="1">
        <v>10880.0</v>
      </c>
    </row>
    <row r="1235">
      <c r="A1235" s="1">
        <v>1233.0</v>
      </c>
      <c r="B1235" s="1" t="s">
        <v>627</v>
      </c>
      <c r="C1235" s="1" t="s">
        <v>6</v>
      </c>
      <c r="D1235" s="1">
        <v>1.0</v>
      </c>
      <c r="E1235" s="1" t="s">
        <v>945</v>
      </c>
      <c r="F1235" s="1">
        <v>96739.0</v>
      </c>
    </row>
    <row r="1236">
      <c r="A1236" s="1">
        <v>1234.0</v>
      </c>
      <c r="B1236" s="1" t="s">
        <v>544</v>
      </c>
      <c r="C1236" s="1" t="s">
        <v>6</v>
      </c>
      <c r="D1236" s="1">
        <v>1.0</v>
      </c>
      <c r="E1236" s="1" t="s">
        <v>945</v>
      </c>
      <c r="F1236" s="1">
        <v>59.0</v>
      </c>
    </row>
    <row r="1237">
      <c r="A1237" s="1">
        <v>1235.0</v>
      </c>
      <c r="B1237" s="1" t="s">
        <v>581</v>
      </c>
      <c r="C1237" s="1" t="s">
        <v>6</v>
      </c>
      <c r="D1237" s="1">
        <v>1.0</v>
      </c>
      <c r="E1237" s="1" t="s">
        <v>945</v>
      </c>
      <c r="F1237" s="1">
        <v>124434.0</v>
      </c>
    </row>
    <row r="1238">
      <c r="A1238" s="1">
        <v>1236.0</v>
      </c>
      <c r="B1238" s="1" t="s">
        <v>5</v>
      </c>
      <c r="C1238" s="1" t="s">
        <v>6</v>
      </c>
      <c r="D1238" s="1">
        <v>1.0</v>
      </c>
      <c r="E1238" s="1" t="s">
        <v>945</v>
      </c>
      <c r="F1238" s="1">
        <v>2498867.0</v>
      </c>
    </row>
    <row r="1239">
      <c r="A1239" s="1">
        <v>1237.0</v>
      </c>
      <c r="B1239" s="1" t="s">
        <v>70</v>
      </c>
      <c r="C1239" s="1" t="s">
        <v>6</v>
      </c>
      <c r="D1239" s="1">
        <v>1.0</v>
      </c>
      <c r="E1239" s="1" t="s">
        <v>945</v>
      </c>
      <c r="F1239" s="1">
        <v>216000.0</v>
      </c>
    </row>
    <row r="1240">
      <c r="A1240" s="1">
        <v>1238.0</v>
      </c>
      <c r="B1240" s="1" t="s">
        <v>173</v>
      </c>
      <c r="C1240" s="1" t="s">
        <v>6</v>
      </c>
      <c r="D1240" s="1">
        <v>1.0</v>
      </c>
      <c r="E1240" s="1" t="s">
        <v>945</v>
      </c>
      <c r="F1240" s="1">
        <v>50367.0</v>
      </c>
    </row>
    <row r="1241">
      <c r="A1241" s="1">
        <v>1239.0</v>
      </c>
      <c r="B1241" s="1" t="s">
        <v>173</v>
      </c>
      <c r="C1241" s="1" t="s">
        <v>6</v>
      </c>
      <c r="D1241" s="1">
        <v>1.0</v>
      </c>
      <c r="E1241" s="1" t="s">
        <v>945</v>
      </c>
      <c r="F1241" s="1">
        <v>106209.0</v>
      </c>
    </row>
    <row r="1242">
      <c r="A1242" s="1">
        <v>1240.0</v>
      </c>
      <c r="B1242" s="1" t="s">
        <v>255</v>
      </c>
      <c r="C1242" s="1" t="s">
        <v>6</v>
      </c>
      <c r="D1242" s="1">
        <v>1.0</v>
      </c>
      <c r="E1242" s="1" t="s">
        <v>945</v>
      </c>
      <c r="F1242" s="1">
        <v>59279.0</v>
      </c>
    </row>
    <row r="1243">
      <c r="A1243" s="1">
        <v>1241.0</v>
      </c>
      <c r="B1243" s="1" t="s">
        <v>610</v>
      </c>
      <c r="C1243" s="1" t="s">
        <v>6</v>
      </c>
      <c r="D1243" s="1">
        <v>1.0</v>
      </c>
      <c r="E1243" s="1" t="s">
        <v>945</v>
      </c>
      <c r="F1243" s="1">
        <v>203275.0</v>
      </c>
    </row>
    <row r="1244">
      <c r="A1244" s="1">
        <v>1242.0</v>
      </c>
      <c r="B1244" s="1" t="s">
        <v>104</v>
      </c>
      <c r="C1244" s="1" t="s">
        <v>6</v>
      </c>
      <c r="D1244" s="1">
        <v>1.0</v>
      </c>
      <c r="E1244" s="1" t="s">
        <v>945</v>
      </c>
      <c r="F1244" s="1">
        <v>22586.0</v>
      </c>
    </row>
    <row r="1245">
      <c r="A1245" s="1">
        <v>1243.0</v>
      </c>
      <c r="B1245" s="1" t="s">
        <v>986</v>
      </c>
      <c r="C1245" s="1" t="s">
        <v>6</v>
      </c>
      <c r="D1245" s="1">
        <v>1.0</v>
      </c>
      <c r="E1245" s="1" t="s">
        <v>945</v>
      </c>
      <c r="F1245" s="1">
        <v>62472.0</v>
      </c>
    </row>
    <row r="1246">
      <c r="A1246" s="1">
        <v>1244.0</v>
      </c>
      <c r="B1246" s="1" t="s">
        <v>51</v>
      </c>
      <c r="C1246" s="1" t="s">
        <v>6</v>
      </c>
      <c r="D1246" s="1">
        <v>1.0</v>
      </c>
      <c r="E1246" s="1" t="s">
        <v>945</v>
      </c>
      <c r="F1246" s="1">
        <v>94844.0</v>
      </c>
    </row>
    <row r="1247">
      <c r="A1247" s="1">
        <v>1245.0</v>
      </c>
      <c r="B1247" s="1" t="s">
        <v>836</v>
      </c>
      <c r="C1247" s="1" t="s">
        <v>6</v>
      </c>
      <c r="D1247" s="1">
        <v>1.0</v>
      </c>
      <c r="E1247" s="1" t="s">
        <v>945</v>
      </c>
      <c r="F1247" s="1">
        <v>816.0</v>
      </c>
    </row>
    <row r="1248">
      <c r="A1248" s="1">
        <v>1246.0</v>
      </c>
      <c r="B1248" s="1" t="s">
        <v>774</v>
      </c>
      <c r="C1248" s="1" t="s">
        <v>6</v>
      </c>
      <c r="D1248" s="1">
        <v>1.0</v>
      </c>
      <c r="E1248" s="1" t="s">
        <v>945</v>
      </c>
      <c r="F1248" s="1">
        <v>1572499.0</v>
      </c>
    </row>
    <row r="1249">
      <c r="A1249" s="1">
        <v>1247.0</v>
      </c>
      <c r="B1249" s="1" t="s">
        <v>987</v>
      </c>
      <c r="C1249" s="1" t="s">
        <v>6</v>
      </c>
      <c r="D1249" s="1">
        <v>1.0</v>
      </c>
      <c r="E1249" s="1" t="s">
        <v>945</v>
      </c>
      <c r="F1249" s="1">
        <v>301465.0</v>
      </c>
    </row>
    <row r="1250">
      <c r="A1250" s="1">
        <v>1248.0</v>
      </c>
      <c r="B1250" s="1" t="s">
        <v>988</v>
      </c>
      <c r="C1250" s="1" t="s">
        <v>6</v>
      </c>
      <c r="D1250" s="1">
        <v>1.0</v>
      </c>
      <c r="E1250" s="1" t="s">
        <v>945</v>
      </c>
      <c r="F1250" s="1">
        <v>203619.0</v>
      </c>
    </row>
    <row r="1251">
      <c r="A1251" s="1">
        <v>1249.0</v>
      </c>
      <c r="B1251" s="1" t="s">
        <v>194</v>
      </c>
      <c r="C1251" s="1" t="s">
        <v>6</v>
      </c>
      <c r="D1251" s="1">
        <v>1.0</v>
      </c>
      <c r="E1251" s="1" t="s">
        <v>945</v>
      </c>
      <c r="F1251" s="1">
        <v>84464.0</v>
      </c>
    </row>
    <row r="1252">
      <c r="A1252" s="1">
        <v>1250.0</v>
      </c>
      <c r="B1252" s="1" t="s">
        <v>192</v>
      </c>
      <c r="C1252" s="1" t="s">
        <v>6</v>
      </c>
      <c r="D1252" s="1">
        <v>1.0</v>
      </c>
      <c r="E1252" s="1" t="s">
        <v>945</v>
      </c>
      <c r="F1252" s="1">
        <v>378000.0</v>
      </c>
    </row>
    <row r="1253">
      <c r="A1253" s="1">
        <v>1251.0</v>
      </c>
      <c r="B1253" s="1" t="s">
        <v>989</v>
      </c>
      <c r="C1253" s="1" t="s">
        <v>6</v>
      </c>
      <c r="D1253" s="1">
        <v>1.0</v>
      </c>
      <c r="E1253" s="1" t="s">
        <v>945</v>
      </c>
      <c r="F1253" s="1">
        <v>3.0</v>
      </c>
    </row>
    <row r="1254">
      <c r="A1254" s="1">
        <v>1252.0</v>
      </c>
      <c r="B1254" s="1" t="s">
        <v>838</v>
      </c>
      <c r="C1254" s="1" t="s">
        <v>6</v>
      </c>
      <c r="D1254" s="1">
        <v>1.0</v>
      </c>
      <c r="E1254" s="1" t="s">
        <v>945</v>
      </c>
      <c r="F1254" s="1">
        <v>373025.0</v>
      </c>
    </row>
    <row r="1255">
      <c r="A1255" s="1">
        <v>1253.0</v>
      </c>
      <c r="B1255" s="1" t="s">
        <v>590</v>
      </c>
      <c r="C1255" s="1" t="s">
        <v>6</v>
      </c>
      <c r="D1255" s="1">
        <v>1.0</v>
      </c>
      <c r="E1255" s="1" t="s">
        <v>945</v>
      </c>
      <c r="F1255" s="1">
        <v>400.0</v>
      </c>
    </row>
    <row r="1256">
      <c r="A1256" s="1">
        <v>1254.0</v>
      </c>
      <c r="B1256" s="1" t="s">
        <v>990</v>
      </c>
      <c r="C1256" s="1" t="s">
        <v>6</v>
      </c>
      <c r="D1256" s="1">
        <v>1.0</v>
      </c>
      <c r="E1256" s="1" t="s">
        <v>945</v>
      </c>
      <c r="F1256" s="1">
        <v>2054761.0</v>
      </c>
    </row>
    <row r="1257">
      <c r="A1257" s="1">
        <v>1255.0</v>
      </c>
      <c r="B1257" s="1" t="s">
        <v>842</v>
      </c>
      <c r="C1257" s="1" t="s">
        <v>6</v>
      </c>
      <c r="D1257" s="1">
        <v>1.0</v>
      </c>
      <c r="E1257" s="1" t="s">
        <v>945</v>
      </c>
      <c r="F1257" s="1">
        <v>511.0</v>
      </c>
    </row>
    <row r="1258">
      <c r="A1258" s="1">
        <v>1256.0</v>
      </c>
      <c r="B1258" s="1" t="s">
        <v>43</v>
      </c>
      <c r="C1258" s="1" t="s">
        <v>6</v>
      </c>
      <c r="D1258" s="1">
        <v>1.0</v>
      </c>
      <c r="E1258" s="1" t="s">
        <v>945</v>
      </c>
      <c r="F1258" s="1">
        <v>938652.0</v>
      </c>
    </row>
    <row r="1259">
      <c r="A1259" s="1">
        <v>1257.0</v>
      </c>
      <c r="B1259" s="1" t="s">
        <v>843</v>
      </c>
      <c r="C1259" s="1" t="s">
        <v>6</v>
      </c>
      <c r="D1259" s="1">
        <v>1.0</v>
      </c>
      <c r="E1259" s="1" t="s">
        <v>945</v>
      </c>
      <c r="F1259" s="1">
        <v>1027.0</v>
      </c>
    </row>
    <row r="1260">
      <c r="A1260" s="1">
        <v>1258.0</v>
      </c>
      <c r="B1260" s="1" t="s">
        <v>177</v>
      </c>
      <c r="C1260" s="1" t="s">
        <v>6</v>
      </c>
      <c r="D1260" s="1">
        <v>1.0</v>
      </c>
      <c r="E1260" s="1" t="s">
        <v>945</v>
      </c>
      <c r="F1260" s="1">
        <v>964688.0</v>
      </c>
    </row>
    <row r="1261">
      <c r="A1261" s="1">
        <v>1259.0</v>
      </c>
      <c r="B1261" s="1" t="s">
        <v>991</v>
      </c>
      <c r="C1261" s="1" t="s">
        <v>6</v>
      </c>
      <c r="D1261" s="1">
        <v>1.0</v>
      </c>
      <c r="E1261" s="1" t="s">
        <v>945</v>
      </c>
      <c r="F1261" s="1">
        <v>2121545.0</v>
      </c>
    </row>
    <row r="1262">
      <c r="A1262" s="1">
        <v>1260.0</v>
      </c>
      <c r="B1262" s="5" t="s">
        <v>847</v>
      </c>
      <c r="C1262" s="1" t="s">
        <v>6</v>
      </c>
      <c r="D1262" s="1">
        <v>1.0</v>
      </c>
      <c r="E1262" s="1" t="s">
        <v>945</v>
      </c>
      <c r="F1262" s="1">
        <v>34314.0</v>
      </c>
    </row>
    <row r="1263">
      <c r="A1263" s="1">
        <v>1261.0</v>
      </c>
      <c r="B1263" s="1" t="s">
        <v>992</v>
      </c>
      <c r="C1263" s="1" t="s">
        <v>6</v>
      </c>
      <c r="D1263" s="1">
        <v>1.0</v>
      </c>
      <c r="E1263" s="1" t="s">
        <v>945</v>
      </c>
      <c r="F1263" s="1">
        <v>504.0</v>
      </c>
    </row>
    <row r="1264">
      <c r="A1264" s="1">
        <v>1262.0</v>
      </c>
      <c r="B1264" s="1" t="s">
        <v>993</v>
      </c>
      <c r="C1264" s="1" t="s">
        <v>6</v>
      </c>
      <c r="D1264" s="1">
        <v>1.0</v>
      </c>
      <c r="E1264" s="1" t="s">
        <v>945</v>
      </c>
      <c r="F1264" s="1">
        <v>31863.0</v>
      </c>
    </row>
    <row r="1265">
      <c r="A1265" s="1">
        <v>1263.0</v>
      </c>
      <c r="B1265" s="1" t="s">
        <v>994</v>
      </c>
      <c r="C1265" s="1" t="s">
        <v>6</v>
      </c>
      <c r="D1265" s="1">
        <v>1.0</v>
      </c>
      <c r="E1265" s="1" t="s">
        <v>945</v>
      </c>
      <c r="F1265" s="1">
        <v>1068476.0</v>
      </c>
    </row>
    <row r="1266">
      <c r="A1266" s="1">
        <v>1264.0</v>
      </c>
      <c r="B1266" s="1" t="s">
        <v>168</v>
      </c>
      <c r="C1266" s="1" t="s">
        <v>6</v>
      </c>
      <c r="D1266" s="1">
        <v>1.0</v>
      </c>
      <c r="E1266" s="1" t="s">
        <v>945</v>
      </c>
      <c r="F1266" s="1">
        <v>1267181.0</v>
      </c>
    </row>
    <row r="1267">
      <c r="A1267" s="1">
        <v>1265.0</v>
      </c>
      <c r="B1267" s="1" t="s">
        <v>995</v>
      </c>
      <c r="C1267" s="1" t="s">
        <v>6</v>
      </c>
      <c r="D1267" s="1">
        <v>1.0</v>
      </c>
      <c r="E1267" s="1" t="s">
        <v>945</v>
      </c>
      <c r="F1267" s="1">
        <v>553.0</v>
      </c>
    </row>
    <row r="1268">
      <c r="A1268" s="1">
        <v>1266.0</v>
      </c>
      <c r="B1268" s="1" t="s">
        <v>105</v>
      </c>
      <c r="C1268" s="1" t="s">
        <v>6</v>
      </c>
      <c r="D1268" s="1">
        <v>1.0</v>
      </c>
      <c r="E1268" s="1" t="s">
        <v>945</v>
      </c>
      <c r="F1268" s="1">
        <v>18273.0</v>
      </c>
    </row>
    <row r="1269">
      <c r="A1269" s="1">
        <v>1267.0</v>
      </c>
      <c r="B1269" s="1" t="s">
        <v>996</v>
      </c>
      <c r="C1269" s="1" t="s">
        <v>6</v>
      </c>
      <c r="D1269" s="1">
        <v>1.0</v>
      </c>
      <c r="E1269" s="1" t="s">
        <v>945</v>
      </c>
      <c r="F1269" s="1">
        <v>1713326.0</v>
      </c>
    </row>
    <row r="1270">
      <c r="A1270" s="1">
        <v>1268.0</v>
      </c>
      <c r="B1270" s="1" t="s">
        <v>997</v>
      </c>
      <c r="C1270" s="1" t="s">
        <v>6</v>
      </c>
      <c r="D1270" s="1">
        <v>1.0</v>
      </c>
      <c r="E1270" s="1" t="s">
        <v>945</v>
      </c>
      <c r="F1270" s="1">
        <v>70.0</v>
      </c>
    </row>
    <row r="1271">
      <c r="A1271" s="1">
        <v>1269.0</v>
      </c>
      <c r="B1271" s="1" t="s">
        <v>997</v>
      </c>
      <c r="C1271" s="1" t="s">
        <v>6</v>
      </c>
      <c r="D1271" s="1">
        <v>1.0</v>
      </c>
      <c r="E1271" s="1" t="s">
        <v>945</v>
      </c>
      <c r="F1271" s="1">
        <v>609826.0</v>
      </c>
    </row>
    <row r="1272">
      <c r="A1272" s="1">
        <v>1270.0</v>
      </c>
      <c r="B1272" s="1" t="s">
        <v>998</v>
      </c>
      <c r="C1272" s="1" t="s">
        <v>6</v>
      </c>
      <c r="D1272" s="1">
        <v>1.0</v>
      </c>
      <c r="E1272" s="1" t="s">
        <v>945</v>
      </c>
      <c r="F1272" s="1">
        <v>655953.0</v>
      </c>
    </row>
    <row r="1273">
      <c r="A1273" s="1">
        <v>1271.0</v>
      </c>
      <c r="B1273" s="1" t="s">
        <v>999</v>
      </c>
      <c r="C1273" s="1" t="s">
        <v>6</v>
      </c>
      <c r="D1273" s="1">
        <v>1.0</v>
      </c>
      <c r="E1273" s="1" t="s">
        <v>945</v>
      </c>
      <c r="F1273" s="1">
        <v>98479.0</v>
      </c>
    </row>
    <row r="1274">
      <c r="A1274" s="1">
        <v>1272.0</v>
      </c>
      <c r="B1274" s="1" t="s">
        <v>1000</v>
      </c>
      <c r="C1274" s="1" t="s">
        <v>6</v>
      </c>
      <c r="D1274" s="1">
        <v>1.0</v>
      </c>
      <c r="E1274" s="1" t="s">
        <v>945</v>
      </c>
      <c r="F1274" s="1">
        <v>1784305.0</v>
      </c>
    </row>
    <row r="1275">
      <c r="A1275" s="1">
        <v>1273.0</v>
      </c>
      <c r="B1275" s="1" t="s">
        <v>1001</v>
      </c>
      <c r="C1275" s="1" t="s">
        <v>6</v>
      </c>
      <c r="D1275" s="1">
        <v>1.0</v>
      </c>
      <c r="E1275" s="1" t="s">
        <v>945</v>
      </c>
      <c r="F1275" s="1">
        <v>95700.0</v>
      </c>
    </row>
    <row r="1276">
      <c r="A1276" s="1">
        <v>1274.0</v>
      </c>
      <c r="B1276" s="1" t="s">
        <v>597</v>
      </c>
      <c r="C1276" s="1" t="s">
        <v>6</v>
      </c>
      <c r="D1276" s="1">
        <v>1.0</v>
      </c>
      <c r="E1276" s="1" t="s">
        <v>945</v>
      </c>
      <c r="F1276" s="1">
        <v>212894.0</v>
      </c>
    </row>
    <row r="1277">
      <c r="A1277" s="1">
        <v>1275.0</v>
      </c>
      <c r="B1277" s="1" t="s">
        <v>241</v>
      </c>
      <c r="C1277" s="1" t="s">
        <v>6</v>
      </c>
      <c r="D1277" s="1">
        <v>1.0</v>
      </c>
      <c r="E1277" s="1" t="s">
        <v>945</v>
      </c>
      <c r="F1277" s="1">
        <v>200.0</v>
      </c>
    </row>
    <row r="1278">
      <c r="A1278" s="1">
        <v>1276.0</v>
      </c>
      <c r="B1278" s="1" t="s">
        <v>1002</v>
      </c>
      <c r="C1278" s="1" t="s">
        <v>6</v>
      </c>
      <c r="D1278" s="1">
        <v>1.0</v>
      </c>
      <c r="E1278" s="1" t="s">
        <v>945</v>
      </c>
      <c r="F1278" s="1">
        <v>610593.0</v>
      </c>
    </row>
    <row r="1279">
      <c r="A1279" s="1">
        <v>1277.0</v>
      </c>
      <c r="B1279" s="1" t="s">
        <v>758</v>
      </c>
      <c r="C1279" s="1" t="s">
        <v>6</v>
      </c>
      <c r="D1279" s="1">
        <v>1.0</v>
      </c>
      <c r="E1279" s="1" t="s">
        <v>945</v>
      </c>
      <c r="F1279" s="1">
        <v>19171.0</v>
      </c>
    </row>
    <row r="1280">
      <c r="A1280" s="1">
        <v>1278.0</v>
      </c>
      <c r="B1280" s="1" t="s">
        <v>758</v>
      </c>
      <c r="C1280" s="1" t="s">
        <v>6</v>
      </c>
      <c r="D1280" s="1">
        <v>1.0</v>
      </c>
      <c r="E1280" s="1" t="s">
        <v>945</v>
      </c>
      <c r="F1280" s="1">
        <v>165341.0</v>
      </c>
    </row>
    <row r="1281">
      <c r="A1281" s="1">
        <v>1279.0</v>
      </c>
      <c r="B1281" s="1" t="s">
        <v>1003</v>
      </c>
      <c r="C1281" s="1" t="s">
        <v>6</v>
      </c>
      <c r="D1281" s="1">
        <v>1.0</v>
      </c>
      <c r="E1281" s="1" t="s">
        <v>945</v>
      </c>
      <c r="F1281" s="1">
        <v>1158640.0</v>
      </c>
    </row>
    <row r="1282">
      <c r="A1282" s="1">
        <v>1280.0</v>
      </c>
      <c r="B1282" s="1" t="s">
        <v>1004</v>
      </c>
      <c r="C1282" s="1" t="s">
        <v>6</v>
      </c>
      <c r="D1282" s="1">
        <v>1.0</v>
      </c>
      <c r="E1282" s="1" t="s">
        <v>945</v>
      </c>
      <c r="F1282" s="1">
        <v>673381.0</v>
      </c>
    </row>
    <row r="1283">
      <c r="A1283" s="1">
        <v>1281.0</v>
      </c>
      <c r="B1283" s="1" t="s">
        <v>1005</v>
      </c>
      <c r="C1283" s="1" t="s">
        <v>6</v>
      </c>
      <c r="D1283" s="1">
        <v>1.0</v>
      </c>
      <c r="E1283" s="1" t="s">
        <v>945</v>
      </c>
      <c r="F1283" s="1">
        <v>2098257.0</v>
      </c>
    </row>
    <row r="1284">
      <c r="A1284" s="1">
        <v>1282.0</v>
      </c>
      <c r="B1284" s="1" t="s">
        <v>1006</v>
      </c>
      <c r="C1284" s="1" t="s">
        <v>6</v>
      </c>
      <c r="D1284" s="1">
        <v>1.0</v>
      </c>
      <c r="E1284" s="1" t="s">
        <v>945</v>
      </c>
      <c r="F1284" s="1">
        <v>488006.0</v>
      </c>
    </row>
    <row r="1285">
      <c r="A1285" s="1">
        <v>1283.0</v>
      </c>
      <c r="B1285" s="1" t="s">
        <v>1007</v>
      </c>
      <c r="C1285" s="1" t="s">
        <v>6</v>
      </c>
      <c r="D1285" s="1">
        <v>1.0</v>
      </c>
      <c r="E1285" s="1" t="s">
        <v>945</v>
      </c>
      <c r="F1285" s="1">
        <v>3531413.0</v>
      </c>
    </row>
    <row r="1286">
      <c r="A1286" s="1">
        <v>1284.0</v>
      </c>
      <c r="B1286" s="1" t="s">
        <v>570</v>
      </c>
      <c r="C1286" s="1" t="s">
        <v>6</v>
      </c>
      <c r="D1286" s="1">
        <v>1.0</v>
      </c>
      <c r="E1286" s="1" t="s">
        <v>945</v>
      </c>
      <c r="F1286" s="1">
        <v>976012.0</v>
      </c>
    </row>
    <row r="1287">
      <c r="A1287" s="1">
        <v>1285.0</v>
      </c>
      <c r="B1287" s="1" t="s">
        <v>1008</v>
      </c>
      <c r="C1287" s="1" t="s">
        <v>6</v>
      </c>
      <c r="D1287" s="1">
        <v>1.0</v>
      </c>
      <c r="E1287" s="1" t="s">
        <v>945</v>
      </c>
      <c r="F1287" s="1">
        <v>11.0</v>
      </c>
    </row>
    <row r="1288">
      <c r="A1288" s="1">
        <v>1286.0</v>
      </c>
      <c r="B1288" s="1" t="s">
        <v>1009</v>
      </c>
      <c r="C1288" s="1" t="s">
        <v>6</v>
      </c>
      <c r="D1288" s="1">
        <v>1.0</v>
      </c>
      <c r="E1288" s="1" t="s">
        <v>945</v>
      </c>
      <c r="F1288" s="1">
        <v>2008820.0</v>
      </c>
    </row>
    <row r="1289">
      <c r="A1289" s="1">
        <v>1287.0</v>
      </c>
      <c r="B1289" s="1" t="s">
        <v>1010</v>
      </c>
      <c r="C1289" s="1" t="s">
        <v>6</v>
      </c>
      <c r="D1289" s="1">
        <v>1.0</v>
      </c>
      <c r="E1289" s="1" t="s">
        <v>945</v>
      </c>
      <c r="F1289" s="1">
        <v>745899.0</v>
      </c>
    </row>
    <row r="1290">
      <c r="A1290" s="1">
        <v>1288.0</v>
      </c>
      <c r="B1290" s="1" t="s">
        <v>1011</v>
      </c>
      <c r="C1290" s="1" t="s">
        <v>6</v>
      </c>
      <c r="D1290" s="1">
        <v>1.0</v>
      </c>
      <c r="E1290" s="1" t="s">
        <v>945</v>
      </c>
      <c r="F1290" s="1">
        <v>80.0</v>
      </c>
    </row>
    <row r="1291">
      <c r="A1291" s="1">
        <v>1289.0</v>
      </c>
      <c r="B1291" s="1" t="s">
        <v>1012</v>
      </c>
      <c r="C1291" s="1" t="s">
        <v>6</v>
      </c>
      <c r="D1291" s="1">
        <v>1.0</v>
      </c>
      <c r="E1291" s="1" t="s">
        <v>945</v>
      </c>
      <c r="F1291" s="1">
        <v>2073676.0</v>
      </c>
    </row>
    <row r="1292">
      <c r="A1292" s="1">
        <v>1290.0</v>
      </c>
      <c r="B1292" s="1" t="s">
        <v>1013</v>
      </c>
      <c r="C1292" s="1" t="s">
        <v>6</v>
      </c>
      <c r="D1292" s="1">
        <v>1.0</v>
      </c>
      <c r="E1292" s="1" t="s">
        <v>945</v>
      </c>
      <c r="F1292" s="1">
        <v>38.0</v>
      </c>
    </row>
    <row r="1293">
      <c r="A1293" s="1">
        <v>1291.0</v>
      </c>
      <c r="B1293" s="1" t="s">
        <v>1014</v>
      </c>
      <c r="C1293" s="1" t="s">
        <v>6</v>
      </c>
      <c r="D1293" s="1">
        <v>1.0</v>
      </c>
      <c r="E1293" s="1" t="s">
        <v>945</v>
      </c>
      <c r="F1293" s="1">
        <v>6044006.0</v>
      </c>
    </row>
    <row r="1294">
      <c r="A1294" s="1">
        <v>1292.0</v>
      </c>
      <c r="B1294" s="1" t="s">
        <v>1015</v>
      </c>
      <c r="C1294" s="1" t="s">
        <v>6</v>
      </c>
      <c r="D1294" s="1">
        <v>1.0</v>
      </c>
      <c r="E1294" s="1" t="s">
        <v>945</v>
      </c>
      <c r="F1294" s="1">
        <v>4029337.0</v>
      </c>
    </row>
    <row r="1295">
      <c r="A1295" s="1">
        <v>1293.0</v>
      </c>
      <c r="B1295" s="1" t="s">
        <v>11</v>
      </c>
      <c r="C1295" s="1" t="s">
        <v>1016</v>
      </c>
      <c r="D1295" s="1">
        <v>62.0</v>
      </c>
      <c r="E1295" s="1" t="s">
        <v>7</v>
      </c>
      <c r="F1295" s="1">
        <v>608077.0</v>
      </c>
    </row>
    <row r="1296">
      <c r="A1296" s="1">
        <v>1294.0</v>
      </c>
      <c r="B1296" s="1" t="s">
        <v>9</v>
      </c>
      <c r="C1296" s="1" t="s">
        <v>1016</v>
      </c>
      <c r="D1296" s="1">
        <v>48.0</v>
      </c>
      <c r="E1296" s="1" t="s">
        <v>7</v>
      </c>
      <c r="F1296" s="1">
        <v>83.0</v>
      </c>
    </row>
    <row r="1297">
      <c r="A1297" s="1">
        <v>1295.0</v>
      </c>
      <c r="B1297" s="1" t="s">
        <v>5</v>
      </c>
      <c r="C1297" s="1" t="s">
        <v>1016</v>
      </c>
      <c r="D1297" s="1">
        <v>45.0</v>
      </c>
      <c r="E1297" s="1" t="s">
        <v>7</v>
      </c>
      <c r="F1297" s="1">
        <v>610598.0</v>
      </c>
    </row>
    <row r="1298">
      <c r="A1298" s="1">
        <v>1296.0</v>
      </c>
      <c r="B1298" s="1" t="s">
        <v>469</v>
      </c>
      <c r="C1298" s="1" t="s">
        <v>1016</v>
      </c>
      <c r="D1298" s="1">
        <v>44.0</v>
      </c>
      <c r="E1298" s="1" t="s">
        <v>7</v>
      </c>
      <c r="F1298" s="1">
        <v>670610.0</v>
      </c>
    </row>
    <row r="1299">
      <c r="A1299" s="1">
        <v>1297.0</v>
      </c>
      <c r="B1299" s="1" t="s">
        <v>14</v>
      </c>
      <c r="C1299" s="1" t="s">
        <v>1016</v>
      </c>
      <c r="D1299" s="1">
        <v>40.0</v>
      </c>
      <c r="E1299" s="1" t="s">
        <v>7</v>
      </c>
      <c r="F1299" s="1">
        <v>442476.0</v>
      </c>
    </row>
    <row r="1300">
      <c r="A1300" s="1">
        <v>1298.0</v>
      </c>
      <c r="B1300" s="1" t="s">
        <v>12</v>
      </c>
      <c r="C1300" s="1" t="s">
        <v>1016</v>
      </c>
      <c r="D1300" s="1">
        <v>32.0</v>
      </c>
      <c r="E1300" s="1" t="s">
        <v>7</v>
      </c>
      <c r="F1300" s="1">
        <v>562096.0</v>
      </c>
    </row>
    <row r="1301">
      <c r="A1301" s="1">
        <v>1299.0</v>
      </c>
      <c r="B1301" s="1" t="s">
        <v>8</v>
      </c>
      <c r="C1301" s="1" t="s">
        <v>1016</v>
      </c>
      <c r="D1301" s="1">
        <v>31.0</v>
      </c>
      <c r="E1301" s="1" t="s">
        <v>7</v>
      </c>
      <c r="F1301" s="1">
        <v>588369.0</v>
      </c>
    </row>
    <row r="1302">
      <c r="A1302" s="1">
        <v>1300.0</v>
      </c>
      <c r="B1302" s="1" t="s">
        <v>23</v>
      </c>
      <c r="C1302" s="1" t="s">
        <v>1016</v>
      </c>
      <c r="D1302" s="1">
        <v>27.0</v>
      </c>
      <c r="E1302" s="1" t="s">
        <v>7</v>
      </c>
      <c r="F1302" s="1">
        <v>21.0</v>
      </c>
    </row>
    <row r="1303">
      <c r="A1303" s="1">
        <v>1301.0</v>
      </c>
      <c r="B1303" s="1" t="s">
        <v>349</v>
      </c>
      <c r="C1303" s="1" t="s">
        <v>1016</v>
      </c>
      <c r="D1303" s="1">
        <v>25.0</v>
      </c>
      <c r="E1303" s="1" t="s">
        <v>7</v>
      </c>
      <c r="F1303" s="1">
        <v>66.0</v>
      </c>
    </row>
    <row r="1304">
      <c r="A1304" s="1">
        <v>1302.0</v>
      </c>
      <c r="B1304" s="1" t="s">
        <v>324</v>
      </c>
      <c r="C1304" s="1" t="s">
        <v>1016</v>
      </c>
      <c r="D1304" s="1">
        <v>24.0</v>
      </c>
      <c r="E1304" s="1" t="s">
        <v>7</v>
      </c>
      <c r="F1304" s="1">
        <v>534502.0</v>
      </c>
    </row>
    <row r="1305">
      <c r="A1305" s="1">
        <v>1303.0</v>
      </c>
      <c r="B1305" s="1" t="s">
        <v>16</v>
      </c>
      <c r="C1305" s="1" t="s">
        <v>1016</v>
      </c>
      <c r="D1305" s="1">
        <v>24.0</v>
      </c>
      <c r="E1305" s="1" t="s">
        <v>7</v>
      </c>
      <c r="F1305" s="1">
        <v>580641.0</v>
      </c>
    </row>
    <row r="1306">
      <c r="A1306" s="1">
        <v>1304.0</v>
      </c>
      <c r="B1306" s="1" t="s">
        <v>65</v>
      </c>
      <c r="C1306" s="1" t="s">
        <v>1016</v>
      </c>
      <c r="D1306" s="1">
        <v>23.0</v>
      </c>
      <c r="E1306" s="1" t="s">
        <v>7</v>
      </c>
      <c r="F1306" s="1">
        <v>468651.0</v>
      </c>
    </row>
    <row r="1307">
      <c r="A1307" s="1">
        <v>1305.0</v>
      </c>
      <c r="B1307" s="1" t="s">
        <v>620</v>
      </c>
      <c r="C1307" s="1" t="s">
        <v>1016</v>
      </c>
      <c r="D1307" s="1">
        <v>19.0</v>
      </c>
      <c r="E1307" s="1" t="s">
        <v>7</v>
      </c>
      <c r="F1307" s="1">
        <v>500374.0</v>
      </c>
    </row>
    <row r="1308">
      <c r="A1308" s="1">
        <v>1306.0</v>
      </c>
      <c r="B1308" s="1" t="s">
        <v>27</v>
      </c>
      <c r="C1308" s="1" t="s">
        <v>1016</v>
      </c>
      <c r="D1308" s="1">
        <v>18.0</v>
      </c>
      <c r="E1308" s="1" t="s">
        <v>7</v>
      </c>
      <c r="F1308" s="1">
        <v>638418.0</v>
      </c>
    </row>
    <row r="1309">
      <c r="A1309" s="1">
        <v>1307.0</v>
      </c>
      <c r="B1309" s="1" t="s">
        <v>661</v>
      </c>
      <c r="C1309" s="1" t="s">
        <v>1016</v>
      </c>
      <c r="D1309" s="1">
        <v>18.0</v>
      </c>
      <c r="E1309" s="1" t="s">
        <v>7</v>
      </c>
      <c r="F1309" s="1">
        <v>455252.0</v>
      </c>
    </row>
    <row r="1310">
      <c r="A1310" s="1">
        <v>1308.0</v>
      </c>
      <c r="B1310" s="1" t="s">
        <v>116</v>
      </c>
      <c r="C1310" s="1" t="s">
        <v>1016</v>
      </c>
      <c r="D1310" s="1">
        <v>16.0</v>
      </c>
      <c r="E1310" s="1" t="s">
        <v>7</v>
      </c>
      <c r="F1310" s="1">
        <v>586329.0</v>
      </c>
    </row>
    <row r="1311">
      <c r="A1311" s="1">
        <v>1309.0</v>
      </c>
      <c r="B1311" s="1" t="s">
        <v>33</v>
      </c>
      <c r="C1311" s="1" t="s">
        <v>1016</v>
      </c>
      <c r="D1311" s="1">
        <v>15.0</v>
      </c>
      <c r="E1311" s="1" t="s">
        <v>7</v>
      </c>
      <c r="F1311" s="1">
        <v>40724.0</v>
      </c>
    </row>
    <row r="1312">
      <c r="A1312" s="1">
        <v>1310.0</v>
      </c>
      <c r="B1312" s="1" t="s">
        <v>80</v>
      </c>
      <c r="C1312" s="1" t="s">
        <v>1016</v>
      </c>
      <c r="D1312" s="1">
        <v>14.0</v>
      </c>
      <c r="E1312" s="1" t="s">
        <v>7</v>
      </c>
      <c r="F1312" s="1">
        <v>601924.0</v>
      </c>
    </row>
    <row r="1313">
      <c r="A1313" s="1">
        <v>1311.0</v>
      </c>
      <c r="B1313" s="1" t="s">
        <v>129</v>
      </c>
      <c r="C1313" s="1" t="s">
        <v>1016</v>
      </c>
      <c r="D1313" s="1">
        <v>14.0</v>
      </c>
      <c r="E1313" s="1" t="s">
        <v>7</v>
      </c>
      <c r="F1313" s="1">
        <v>622687.0</v>
      </c>
    </row>
    <row r="1314">
      <c r="A1314" s="1">
        <v>1312.0</v>
      </c>
      <c r="B1314" s="1" t="s">
        <v>543</v>
      </c>
      <c r="C1314" s="1" t="s">
        <v>1016</v>
      </c>
      <c r="D1314" s="1">
        <v>12.0</v>
      </c>
      <c r="E1314" s="1" t="s">
        <v>7</v>
      </c>
      <c r="F1314" s="1">
        <v>1028758.0</v>
      </c>
    </row>
    <row r="1315">
      <c r="A1315" s="1">
        <v>1313.0</v>
      </c>
      <c r="B1315" s="1" t="s">
        <v>1017</v>
      </c>
      <c r="C1315" s="1" t="s">
        <v>1016</v>
      </c>
      <c r="D1315" s="1">
        <v>12.0</v>
      </c>
      <c r="E1315" s="1" t="s">
        <v>7</v>
      </c>
      <c r="F1315" s="1">
        <v>329285.0</v>
      </c>
    </row>
    <row r="1316">
      <c r="A1316" s="1">
        <v>1314.0</v>
      </c>
      <c r="B1316" s="1" t="s">
        <v>1018</v>
      </c>
      <c r="C1316" s="1" t="s">
        <v>1016</v>
      </c>
      <c r="D1316" s="1">
        <v>10.0</v>
      </c>
      <c r="E1316" s="1" t="s">
        <v>7</v>
      </c>
      <c r="F1316" s="1">
        <v>559400.0</v>
      </c>
    </row>
    <row r="1317">
      <c r="A1317" s="1">
        <v>1315.0</v>
      </c>
      <c r="B1317" s="1" t="s">
        <v>257</v>
      </c>
      <c r="C1317" s="1" t="s">
        <v>1016</v>
      </c>
      <c r="D1317" s="1">
        <v>10.0</v>
      </c>
      <c r="E1317" s="1" t="s">
        <v>7</v>
      </c>
      <c r="F1317" s="1">
        <v>1329533.0</v>
      </c>
    </row>
    <row r="1318">
      <c r="A1318" s="1">
        <v>1316.0</v>
      </c>
      <c r="B1318" s="1" t="s">
        <v>77</v>
      </c>
      <c r="C1318" s="1" t="s">
        <v>1016</v>
      </c>
      <c r="D1318" s="1">
        <v>10.0</v>
      </c>
      <c r="E1318" s="1" t="s">
        <v>7</v>
      </c>
      <c r="F1318" s="1">
        <v>1175802.0</v>
      </c>
    </row>
    <row r="1319">
      <c r="A1319" s="1">
        <v>1317.0</v>
      </c>
      <c r="B1319" s="1" t="s">
        <v>220</v>
      </c>
      <c r="C1319" s="1" t="s">
        <v>1016</v>
      </c>
      <c r="D1319" s="1">
        <v>10.0</v>
      </c>
      <c r="E1319" s="1" t="s">
        <v>7</v>
      </c>
      <c r="F1319" s="1">
        <v>552004.0</v>
      </c>
    </row>
    <row r="1320">
      <c r="A1320" s="1">
        <v>1318.0</v>
      </c>
      <c r="B1320" s="1" t="s">
        <v>89</v>
      </c>
      <c r="C1320" s="1" t="s">
        <v>1016</v>
      </c>
      <c r="D1320" s="1">
        <v>10.0</v>
      </c>
      <c r="E1320" s="1" t="s">
        <v>7</v>
      </c>
      <c r="F1320" s="1">
        <v>1233390.0</v>
      </c>
    </row>
    <row r="1321">
      <c r="A1321" s="1">
        <v>1319.0</v>
      </c>
      <c r="B1321" s="1" t="s">
        <v>102</v>
      </c>
      <c r="C1321" s="1" t="s">
        <v>1016</v>
      </c>
      <c r="D1321" s="1">
        <v>9.0</v>
      </c>
      <c r="E1321" s="1" t="s">
        <v>7</v>
      </c>
      <c r="F1321" s="1">
        <v>999547.0</v>
      </c>
    </row>
    <row r="1322">
      <c r="A1322" s="1">
        <v>1320.0</v>
      </c>
      <c r="B1322" s="1" t="s">
        <v>306</v>
      </c>
      <c r="C1322" s="1" t="s">
        <v>1016</v>
      </c>
      <c r="D1322" s="1">
        <v>9.0</v>
      </c>
      <c r="E1322" s="1" t="s">
        <v>7</v>
      </c>
      <c r="F1322" s="1">
        <v>1462260.0</v>
      </c>
    </row>
    <row r="1323">
      <c r="A1323" s="1">
        <v>1321.0</v>
      </c>
      <c r="B1323" s="1" t="s">
        <v>1019</v>
      </c>
      <c r="C1323" s="1" t="s">
        <v>1016</v>
      </c>
      <c r="D1323" s="1">
        <v>8.0</v>
      </c>
      <c r="E1323" s="1" t="s">
        <v>7</v>
      </c>
      <c r="F1323" s="1">
        <v>791011.0</v>
      </c>
    </row>
    <row r="1324">
      <c r="A1324" s="1">
        <v>1322.0</v>
      </c>
      <c r="B1324" s="1" t="s">
        <v>1020</v>
      </c>
      <c r="C1324" s="1" t="s">
        <v>1016</v>
      </c>
      <c r="D1324" s="1">
        <v>8.0</v>
      </c>
      <c r="E1324" s="1" t="s">
        <v>7</v>
      </c>
      <c r="F1324" s="1">
        <v>637459.0</v>
      </c>
    </row>
    <row r="1325">
      <c r="A1325" s="1">
        <v>1323.0</v>
      </c>
      <c r="B1325" s="1" t="s">
        <v>253</v>
      </c>
      <c r="C1325" s="1" t="s">
        <v>1016</v>
      </c>
      <c r="D1325" s="1">
        <v>8.0</v>
      </c>
      <c r="E1325" s="1" t="s">
        <v>7</v>
      </c>
      <c r="F1325" s="1">
        <v>817059.0</v>
      </c>
    </row>
    <row r="1326">
      <c r="A1326" s="1">
        <v>1324.0</v>
      </c>
      <c r="B1326" s="5" t="s">
        <v>1021</v>
      </c>
      <c r="C1326" s="1" t="s">
        <v>1016</v>
      </c>
      <c r="D1326" s="1">
        <v>8.0</v>
      </c>
      <c r="E1326" s="1" t="s">
        <v>7</v>
      </c>
      <c r="F1326" s="1">
        <v>38341.0</v>
      </c>
    </row>
    <row r="1327">
      <c r="A1327" s="1">
        <v>1325.0</v>
      </c>
      <c r="B1327" s="1" t="s">
        <v>52</v>
      </c>
      <c r="C1327" s="1" t="s">
        <v>1016</v>
      </c>
      <c r="D1327" s="1">
        <v>8.0</v>
      </c>
      <c r="E1327" s="1" t="s">
        <v>7</v>
      </c>
      <c r="F1327" s="1">
        <v>892073.0</v>
      </c>
    </row>
    <row r="1328">
      <c r="A1328" s="1">
        <v>1326.0</v>
      </c>
      <c r="B1328" s="1" t="s">
        <v>81</v>
      </c>
      <c r="C1328" s="1" t="s">
        <v>1016</v>
      </c>
      <c r="D1328" s="1">
        <v>8.0</v>
      </c>
      <c r="E1328" s="1" t="s">
        <v>7</v>
      </c>
      <c r="F1328" s="1">
        <v>519599.0</v>
      </c>
    </row>
    <row r="1329">
      <c r="A1329" s="1">
        <v>1327.0</v>
      </c>
      <c r="B1329" s="1" t="s">
        <v>137</v>
      </c>
      <c r="C1329" s="1" t="s">
        <v>1016</v>
      </c>
      <c r="D1329" s="1">
        <v>8.0</v>
      </c>
      <c r="E1329" s="1" t="s">
        <v>7</v>
      </c>
      <c r="F1329" s="1">
        <v>1048552.0</v>
      </c>
    </row>
    <row r="1330">
      <c r="A1330" s="1">
        <v>1328.0</v>
      </c>
      <c r="B1330" s="1" t="s">
        <v>483</v>
      </c>
      <c r="C1330" s="1" t="s">
        <v>1016</v>
      </c>
      <c r="D1330" s="1">
        <v>7.0</v>
      </c>
      <c r="E1330" s="1" t="s">
        <v>7</v>
      </c>
      <c r="F1330" s="1">
        <v>677916.0</v>
      </c>
    </row>
    <row r="1331">
      <c r="A1331" s="1">
        <v>1329.0</v>
      </c>
      <c r="B1331" s="1" t="s">
        <v>217</v>
      </c>
      <c r="C1331" s="1" t="s">
        <v>1016</v>
      </c>
      <c r="D1331" s="1">
        <v>7.0</v>
      </c>
      <c r="E1331" s="1" t="s">
        <v>7</v>
      </c>
      <c r="F1331" s="1">
        <v>564816.0</v>
      </c>
    </row>
    <row r="1332">
      <c r="A1332" s="1">
        <v>1330.0</v>
      </c>
      <c r="B1332" s="1" t="s">
        <v>50</v>
      </c>
      <c r="C1332" s="1" t="s">
        <v>1016</v>
      </c>
      <c r="D1332" s="1">
        <v>7.0</v>
      </c>
      <c r="E1332" s="1" t="s">
        <v>7</v>
      </c>
      <c r="F1332" s="1">
        <v>50.0</v>
      </c>
    </row>
    <row r="1333">
      <c r="A1333" s="1">
        <v>1331.0</v>
      </c>
      <c r="B1333" s="1" t="s">
        <v>61</v>
      </c>
      <c r="C1333" s="1" t="s">
        <v>1016</v>
      </c>
      <c r="D1333" s="1">
        <v>7.0</v>
      </c>
      <c r="E1333" s="1" t="s">
        <v>7</v>
      </c>
      <c r="F1333" s="1">
        <v>746051.0</v>
      </c>
    </row>
    <row r="1334">
      <c r="A1334" s="1">
        <v>1332.0</v>
      </c>
      <c r="B1334" s="1" t="s">
        <v>38</v>
      </c>
      <c r="C1334" s="1" t="s">
        <v>1016</v>
      </c>
      <c r="D1334" s="1">
        <v>7.0</v>
      </c>
      <c r="E1334" s="1" t="s">
        <v>7</v>
      </c>
      <c r="F1334" s="1">
        <v>572657.0</v>
      </c>
    </row>
    <row r="1335">
      <c r="A1335" s="1">
        <v>1333.0</v>
      </c>
      <c r="B1335" s="1" t="s">
        <v>1022</v>
      </c>
      <c r="C1335" s="1" t="s">
        <v>1016</v>
      </c>
      <c r="D1335" s="1">
        <v>6.0</v>
      </c>
      <c r="E1335" s="1" t="s">
        <v>7</v>
      </c>
      <c r="F1335" s="1">
        <v>359881.0</v>
      </c>
    </row>
    <row r="1336">
      <c r="A1336" s="1">
        <v>1334.0</v>
      </c>
      <c r="B1336" s="1" t="s">
        <v>128</v>
      </c>
      <c r="C1336" s="1" t="s">
        <v>1016</v>
      </c>
      <c r="D1336" s="1">
        <v>6.0</v>
      </c>
      <c r="E1336" s="1" t="s">
        <v>7</v>
      </c>
      <c r="F1336" s="1">
        <v>1092609.0</v>
      </c>
    </row>
    <row r="1337">
      <c r="A1337" s="1">
        <v>1335.0</v>
      </c>
      <c r="B1337" s="1" t="s">
        <v>334</v>
      </c>
      <c r="C1337" s="1" t="s">
        <v>1016</v>
      </c>
      <c r="D1337" s="1">
        <v>6.0</v>
      </c>
      <c r="E1337" s="1" t="s">
        <v>7</v>
      </c>
      <c r="F1337" s="1">
        <v>1061562.0</v>
      </c>
    </row>
    <row r="1338">
      <c r="A1338" s="1">
        <v>1336.0</v>
      </c>
      <c r="B1338" s="1" t="s">
        <v>104</v>
      </c>
      <c r="C1338" s="1" t="s">
        <v>1016</v>
      </c>
      <c r="D1338" s="1">
        <v>6.0</v>
      </c>
      <c r="E1338" s="1" t="s">
        <v>7</v>
      </c>
      <c r="F1338" s="1">
        <v>48580.0</v>
      </c>
    </row>
    <row r="1339">
      <c r="A1339" s="1">
        <v>1337.0</v>
      </c>
      <c r="B1339" s="1" t="s">
        <v>581</v>
      </c>
      <c r="C1339" s="1" t="s">
        <v>1016</v>
      </c>
      <c r="D1339" s="1">
        <v>6.0</v>
      </c>
      <c r="E1339" s="1" t="s">
        <v>7</v>
      </c>
      <c r="F1339" s="1">
        <v>917436.0</v>
      </c>
    </row>
    <row r="1340">
      <c r="A1340" s="1">
        <v>1338.0</v>
      </c>
      <c r="B1340" s="1" t="s">
        <v>523</v>
      </c>
      <c r="C1340" s="1" t="s">
        <v>1016</v>
      </c>
      <c r="D1340" s="1">
        <v>6.0</v>
      </c>
      <c r="E1340" s="1" t="s">
        <v>7</v>
      </c>
      <c r="F1340" s="1">
        <v>968920.0</v>
      </c>
    </row>
    <row r="1341">
      <c r="A1341" s="1">
        <v>1339.0</v>
      </c>
      <c r="B1341" s="1" t="s">
        <v>176</v>
      </c>
      <c r="C1341" s="1" t="s">
        <v>1016</v>
      </c>
      <c r="D1341" s="1">
        <v>6.0</v>
      </c>
      <c r="E1341" s="1" t="s">
        <v>7</v>
      </c>
      <c r="F1341" s="1">
        <v>653141.0</v>
      </c>
    </row>
    <row r="1342">
      <c r="A1342" s="1">
        <v>1340.0</v>
      </c>
      <c r="B1342" s="1" t="s">
        <v>300</v>
      </c>
      <c r="C1342" s="1" t="s">
        <v>1016</v>
      </c>
      <c r="D1342" s="1">
        <v>6.0</v>
      </c>
      <c r="E1342" s="1" t="s">
        <v>7</v>
      </c>
      <c r="F1342" s="1">
        <v>85.0</v>
      </c>
    </row>
    <row r="1343">
      <c r="A1343" s="1">
        <v>1341.0</v>
      </c>
      <c r="B1343" s="1" t="s">
        <v>1023</v>
      </c>
      <c r="C1343" s="1" t="s">
        <v>1016</v>
      </c>
      <c r="D1343" s="1">
        <v>6.0</v>
      </c>
      <c r="E1343" s="1" t="s">
        <v>7</v>
      </c>
      <c r="F1343" s="1">
        <v>763966.0</v>
      </c>
    </row>
    <row r="1344">
      <c r="A1344" s="1">
        <v>1342.0</v>
      </c>
      <c r="B1344" s="1" t="s">
        <v>1024</v>
      </c>
      <c r="C1344" s="1" t="s">
        <v>1016</v>
      </c>
      <c r="D1344" s="1">
        <v>6.0</v>
      </c>
      <c r="E1344" s="1" t="s">
        <v>7</v>
      </c>
      <c r="F1344" s="1">
        <v>211557.0</v>
      </c>
    </row>
    <row r="1345">
      <c r="A1345" s="1">
        <v>1343.0</v>
      </c>
      <c r="B1345" s="1" t="s">
        <v>198</v>
      </c>
      <c r="C1345" s="1" t="s">
        <v>1016</v>
      </c>
      <c r="D1345" s="1">
        <v>6.0</v>
      </c>
      <c r="E1345" s="1" t="s">
        <v>7</v>
      </c>
      <c r="F1345" s="1">
        <v>882956.0</v>
      </c>
    </row>
    <row r="1346">
      <c r="A1346" s="1">
        <v>1344.0</v>
      </c>
      <c r="B1346" s="1" t="s">
        <v>1025</v>
      </c>
      <c r="C1346" s="1" t="s">
        <v>1016</v>
      </c>
      <c r="D1346" s="1">
        <v>6.0</v>
      </c>
      <c r="E1346" s="1" t="s">
        <v>7</v>
      </c>
      <c r="F1346" s="1">
        <v>14530.0</v>
      </c>
    </row>
    <row r="1347">
      <c r="A1347" s="1">
        <v>1345.0</v>
      </c>
      <c r="B1347" s="1" t="s">
        <v>1026</v>
      </c>
      <c r="C1347" s="1" t="s">
        <v>1016</v>
      </c>
      <c r="D1347" s="1">
        <v>6.0</v>
      </c>
      <c r="E1347" s="1" t="s">
        <v>7</v>
      </c>
      <c r="F1347" s="1">
        <v>358527.0</v>
      </c>
    </row>
    <row r="1348">
      <c r="A1348" s="1">
        <v>1346.0</v>
      </c>
      <c r="B1348" s="1" t="s">
        <v>25</v>
      </c>
      <c r="C1348" s="1" t="s">
        <v>1016</v>
      </c>
      <c r="D1348" s="1">
        <v>5.0</v>
      </c>
      <c r="E1348" s="1" t="s">
        <v>7</v>
      </c>
      <c r="F1348" s="1">
        <v>738725.0</v>
      </c>
    </row>
    <row r="1349">
      <c r="A1349" s="1">
        <v>1347.0</v>
      </c>
      <c r="B1349" s="1" t="s">
        <v>1027</v>
      </c>
      <c r="C1349" s="1" t="s">
        <v>1016</v>
      </c>
      <c r="D1349" s="1">
        <v>5.0</v>
      </c>
      <c r="E1349" s="1" t="s">
        <v>7</v>
      </c>
      <c r="F1349" s="1">
        <v>955878.0</v>
      </c>
    </row>
    <row r="1350">
      <c r="A1350" s="1">
        <v>1348.0</v>
      </c>
      <c r="B1350" s="1" t="s">
        <v>1028</v>
      </c>
      <c r="C1350" s="1" t="s">
        <v>1016</v>
      </c>
      <c r="D1350" s="1">
        <v>5.0</v>
      </c>
      <c r="E1350" s="1" t="s">
        <v>7</v>
      </c>
      <c r="F1350" s="1">
        <v>753600.0</v>
      </c>
    </row>
    <row r="1351">
      <c r="A1351" s="1">
        <v>1349.0</v>
      </c>
      <c r="B1351" s="1" t="s">
        <v>43</v>
      </c>
      <c r="C1351" s="1" t="s">
        <v>1016</v>
      </c>
      <c r="D1351" s="1">
        <v>5.0</v>
      </c>
      <c r="E1351" s="1" t="s">
        <v>7</v>
      </c>
      <c r="F1351" s="1">
        <v>293756.0</v>
      </c>
    </row>
    <row r="1352">
      <c r="A1352" s="1">
        <v>1350.0</v>
      </c>
      <c r="B1352" s="1" t="s">
        <v>442</v>
      </c>
      <c r="C1352" s="1" t="s">
        <v>1016</v>
      </c>
      <c r="D1352" s="1">
        <v>5.0</v>
      </c>
      <c r="E1352" s="1" t="s">
        <v>7</v>
      </c>
      <c r="F1352" s="1">
        <v>48.0</v>
      </c>
    </row>
    <row r="1353">
      <c r="A1353" s="1">
        <v>1351.0</v>
      </c>
      <c r="B1353" s="1" t="s">
        <v>1029</v>
      </c>
      <c r="C1353" s="1" t="s">
        <v>1016</v>
      </c>
      <c r="D1353" s="1">
        <v>5.0</v>
      </c>
      <c r="E1353" s="1" t="s">
        <v>7</v>
      </c>
      <c r="F1353" s="1">
        <v>440262.0</v>
      </c>
    </row>
    <row r="1354">
      <c r="A1354" s="1">
        <v>1352.0</v>
      </c>
      <c r="B1354" s="1" t="s">
        <v>1030</v>
      </c>
      <c r="C1354" s="1" t="s">
        <v>1016</v>
      </c>
      <c r="D1354" s="1">
        <v>5.0</v>
      </c>
      <c r="E1354" s="1" t="s">
        <v>7</v>
      </c>
      <c r="F1354" s="1">
        <v>657037.0</v>
      </c>
    </row>
    <row r="1355">
      <c r="A1355" s="1">
        <v>1353.0</v>
      </c>
      <c r="B1355" s="1" t="s">
        <v>40</v>
      </c>
      <c r="C1355" s="1" t="s">
        <v>1016</v>
      </c>
      <c r="D1355" s="1">
        <v>5.0</v>
      </c>
      <c r="E1355" s="1" t="s">
        <v>7</v>
      </c>
      <c r="F1355" s="1">
        <v>50.0</v>
      </c>
    </row>
    <row r="1356">
      <c r="A1356" s="1">
        <v>1354.0</v>
      </c>
      <c r="B1356" s="1" t="s">
        <v>874</v>
      </c>
      <c r="C1356" s="1" t="s">
        <v>1016</v>
      </c>
      <c r="D1356" s="1">
        <v>5.0</v>
      </c>
      <c r="E1356" s="1" t="s">
        <v>7</v>
      </c>
      <c r="F1356" s="1">
        <v>500857.0</v>
      </c>
    </row>
    <row r="1357">
      <c r="A1357" s="1">
        <v>1355.0</v>
      </c>
      <c r="B1357" s="1" t="s">
        <v>49</v>
      </c>
      <c r="C1357" s="1" t="s">
        <v>1016</v>
      </c>
      <c r="D1357" s="1">
        <v>4.0</v>
      </c>
      <c r="E1357" s="1" t="s">
        <v>7</v>
      </c>
      <c r="F1357" s="1">
        <v>1447312.0</v>
      </c>
    </row>
    <row r="1358">
      <c r="A1358" s="1">
        <v>1356.0</v>
      </c>
      <c r="B1358" s="1" t="s">
        <v>18</v>
      </c>
      <c r="C1358" s="1" t="s">
        <v>1016</v>
      </c>
      <c r="D1358" s="1">
        <v>4.0</v>
      </c>
      <c r="E1358" s="1" t="s">
        <v>7</v>
      </c>
      <c r="F1358" s="1">
        <v>1506361.0</v>
      </c>
    </row>
    <row r="1359">
      <c r="A1359" s="1">
        <v>1357.0</v>
      </c>
      <c r="B1359" s="1" t="s">
        <v>117</v>
      </c>
      <c r="C1359" s="1" t="s">
        <v>1016</v>
      </c>
      <c r="D1359" s="1">
        <v>4.0</v>
      </c>
      <c r="E1359" s="1" t="s">
        <v>7</v>
      </c>
      <c r="F1359" s="1">
        <v>429977.0</v>
      </c>
    </row>
    <row r="1360">
      <c r="A1360" s="1">
        <v>1358.0</v>
      </c>
      <c r="B1360" s="1" t="s">
        <v>174</v>
      </c>
      <c r="C1360" s="1" t="s">
        <v>1016</v>
      </c>
      <c r="D1360" s="1">
        <v>4.0</v>
      </c>
      <c r="E1360" s="1" t="s">
        <v>7</v>
      </c>
      <c r="F1360" s="1">
        <v>763696.0</v>
      </c>
    </row>
    <row r="1361">
      <c r="A1361" s="1">
        <v>1359.0</v>
      </c>
      <c r="B1361" s="1" t="s">
        <v>1031</v>
      </c>
      <c r="C1361" s="1" t="s">
        <v>1016</v>
      </c>
      <c r="D1361" s="1">
        <v>4.0</v>
      </c>
      <c r="E1361" s="1" t="s">
        <v>7</v>
      </c>
      <c r="F1361" s="1">
        <v>30117.0</v>
      </c>
    </row>
    <row r="1362">
      <c r="A1362" s="1">
        <v>1360.0</v>
      </c>
      <c r="B1362" s="1" t="s">
        <v>591</v>
      </c>
      <c r="C1362" s="1" t="s">
        <v>1016</v>
      </c>
      <c r="D1362" s="1">
        <v>4.0</v>
      </c>
      <c r="E1362" s="1" t="s">
        <v>7</v>
      </c>
      <c r="F1362" s="1">
        <v>1254713.0</v>
      </c>
    </row>
    <row r="1363">
      <c r="A1363" s="1">
        <v>1361.0</v>
      </c>
      <c r="B1363" s="1" t="s">
        <v>1032</v>
      </c>
      <c r="C1363" s="1" t="s">
        <v>1016</v>
      </c>
      <c r="D1363" s="1">
        <v>4.0</v>
      </c>
      <c r="E1363" s="1" t="s">
        <v>7</v>
      </c>
      <c r="F1363" s="1">
        <v>25173.0</v>
      </c>
    </row>
    <row r="1364">
      <c r="A1364" s="1">
        <v>1362.0</v>
      </c>
      <c r="B1364" s="1" t="s">
        <v>149</v>
      </c>
      <c r="C1364" s="1" t="s">
        <v>1016</v>
      </c>
      <c r="D1364" s="1">
        <v>4.0</v>
      </c>
      <c r="E1364" s="1" t="s">
        <v>7</v>
      </c>
      <c r="F1364" s="1">
        <v>790715.0</v>
      </c>
    </row>
    <row r="1365">
      <c r="A1365" s="1">
        <v>1363.0</v>
      </c>
      <c r="B1365" s="1" t="s">
        <v>59</v>
      </c>
      <c r="C1365" s="1" t="s">
        <v>1016</v>
      </c>
      <c r="D1365" s="1">
        <v>4.0</v>
      </c>
      <c r="E1365" s="1" t="s">
        <v>7</v>
      </c>
      <c r="F1365" s="1">
        <v>319712.0</v>
      </c>
    </row>
    <row r="1366">
      <c r="A1366" s="1">
        <v>1364.0</v>
      </c>
      <c r="B1366" s="1" t="s">
        <v>537</v>
      </c>
      <c r="C1366" s="1" t="s">
        <v>1016</v>
      </c>
      <c r="D1366" s="1">
        <v>4.0</v>
      </c>
      <c r="E1366" s="1" t="s">
        <v>7</v>
      </c>
      <c r="F1366" s="1">
        <v>958143.0</v>
      </c>
    </row>
    <row r="1367">
      <c r="A1367" s="1">
        <v>1365.0</v>
      </c>
      <c r="B1367" s="1" t="s">
        <v>1033</v>
      </c>
      <c r="C1367" s="1" t="s">
        <v>1016</v>
      </c>
      <c r="D1367" s="1">
        <v>4.0</v>
      </c>
      <c r="E1367" s="1" t="s">
        <v>7</v>
      </c>
      <c r="F1367" s="1">
        <v>522304.0</v>
      </c>
    </row>
    <row r="1368">
      <c r="A1368" s="1">
        <v>1366.0</v>
      </c>
      <c r="B1368" s="1" t="s">
        <v>1034</v>
      </c>
      <c r="C1368" s="1" t="s">
        <v>1016</v>
      </c>
      <c r="D1368" s="1">
        <v>4.0</v>
      </c>
      <c r="E1368" s="1" t="s">
        <v>7</v>
      </c>
      <c r="F1368" s="1">
        <v>678516.0</v>
      </c>
    </row>
    <row r="1369">
      <c r="A1369" s="1">
        <v>1367.0</v>
      </c>
      <c r="B1369" s="1" t="s">
        <v>11</v>
      </c>
      <c r="C1369" s="1" t="s">
        <v>1016</v>
      </c>
      <c r="D1369" s="1">
        <v>4.0</v>
      </c>
      <c r="E1369" s="1" t="s">
        <v>7</v>
      </c>
      <c r="F1369" s="1">
        <v>54972.0</v>
      </c>
    </row>
    <row r="1370">
      <c r="A1370" s="1">
        <v>1368.0</v>
      </c>
      <c r="B1370" s="1" t="s">
        <v>154</v>
      </c>
      <c r="C1370" s="1" t="s">
        <v>1016</v>
      </c>
      <c r="D1370" s="1">
        <v>4.0</v>
      </c>
      <c r="E1370" s="1" t="s">
        <v>7</v>
      </c>
      <c r="F1370" s="1">
        <v>848548.0</v>
      </c>
    </row>
    <row r="1371">
      <c r="A1371" s="1">
        <v>1369.0</v>
      </c>
      <c r="B1371" s="1" t="s">
        <v>130</v>
      </c>
      <c r="C1371" s="1" t="s">
        <v>1016</v>
      </c>
      <c r="D1371" s="1">
        <v>4.0</v>
      </c>
      <c r="E1371" s="1" t="s">
        <v>7</v>
      </c>
      <c r="F1371" s="1">
        <v>361038.0</v>
      </c>
    </row>
    <row r="1372">
      <c r="A1372" s="1">
        <v>1370.0</v>
      </c>
      <c r="B1372" s="1" t="s">
        <v>157</v>
      </c>
      <c r="C1372" s="1" t="s">
        <v>1016</v>
      </c>
      <c r="D1372" s="1">
        <v>4.0</v>
      </c>
      <c r="E1372" s="1" t="s">
        <v>7</v>
      </c>
      <c r="F1372" s="1">
        <v>783436.0</v>
      </c>
    </row>
    <row r="1373">
      <c r="A1373" s="1">
        <v>1371.0</v>
      </c>
      <c r="B1373" s="1" t="s">
        <v>33</v>
      </c>
      <c r="C1373" s="1" t="s">
        <v>1016</v>
      </c>
      <c r="D1373" s="1">
        <v>4.0</v>
      </c>
      <c r="E1373" s="1" t="s">
        <v>7</v>
      </c>
      <c r="F1373" s="1">
        <v>25318.0</v>
      </c>
    </row>
    <row r="1374">
      <c r="A1374" s="1">
        <v>1372.0</v>
      </c>
      <c r="B1374" s="1" t="s">
        <v>1035</v>
      </c>
      <c r="C1374" s="1" t="s">
        <v>1016</v>
      </c>
      <c r="D1374" s="1">
        <v>4.0</v>
      </c>
      <c r="E1374" s="1" t="s">
        <v>7</v>
      </c>
      <c r="F1374" s="1">
        <v>915717.0</v>
      </c>
    </row>
    <row r="1375">
      <c r="A1375" s="1">
        <v>1373.0</v>
      </c>
      <c r="B1375" s="1" t="s">
        <v>987</v>
      </c>
      <c r="C1375" s="1" t="s">
        <v>1016</v>
      </c>
      <c r="D1375" s="1">
        <v>4.0</v>
      </c>
      <c r="E1375" s="1" t="s">
        <v>7</v>
      </c>
      <c r="F1375" s="1">
        <v>316821.0</v>
      </c>
    </row>
    <row r="1376">
      <c r="A1376" s="1">
        <v>1374.0</v>
      </c>
      <c r="B1376" s="1" t="s">
        <v>1036</v>
      </c>
      <c r="C1376" s="1" t="s">
        <v>1016</v>
      </c>
      <c r="D1376" s="1">
        <v>4.0</v>
      </c>
      <c r="E1376" s="1" t="s">
        <v>7</v>
      </c>
      <c r="F1376" s="1">
        <v>252058.0</v>
      </c>
    </row>
    <row r="1377">
      <c r="A1377" s="1">
        <v>1375.0</v>
      </c>
      <c r="B1377" s="1" t="s">
        <v>1037</v>
      </c>
      <c r="C1377" s="1" t="s">
        <v>1016</v>
      </c>
      <c r="D1377" s="1">
        <v>4.0</v>
      </c>
      <c r="E1377" s="1" t="s">
        <v>7</v>
      </c>
      <c r="F1377" s="1">
        <v>567335.0</v>
      </c>
    </row>
    <row r="1378">
      <c r="A1378" s="1">
        <v>1376.0</v>
      </c>
      <c r="B1378" s="1" t="s">
        <v>1038</v>
      </c>
      <c r="C1378" s="1" t="s">
        <v>1016</v>
      </c>
      <c r="D1378" s="1">
        <v>4.0</v>
      </c>
      <c r="E1378" s="1" t="s">
        <v>7</v>
      </c>
      <c r="F1378" s="1">
        <v>220848.0</v>
      </c>
    </row>
    <row r="1379">
      <c r="A1379" s="1">
        <v>1377.0</v>
      </c>
      <c r="B1379" s="1" t="s">
        <v>54</v>
      </c>
      <c r="C1379" s="1" t="s">
        <v>1016</v>
      </c>
      <c r="D1379" s="1">
        <v>4.0</v>
      </c>
      <c r="E1379" s="1" t="s">
        <v>7</v>
      </c>
      <c r="F1379" s="1">
        <v>687214.0</v>
      </c>
    </row>
    <row r="1380">
      <c r="A1380" s="1">
        <v>1378.0</v>
      </c>
      <c r="B1380" s="1" t="s">
        <v>1039</v>
      </c>
      <c r="C1380" s="1" t="s">
        <v>1016</v>
      </c>
      <c r="D1380" s="1">
        <v>4.0</v>
      </c>
      <c r="E1380" s="1" t="s">
        <v>7</v>
      </c>
      <c r="F1380" s="1">
        <v>24242.0</v>
      </c>
    </row>
    <row r="1381">
      <c r="A1381" s="1">
        <v>1379.0</v>
      </c>
      <c r="B1381" s="1" t="s">
        <v>898</v>
      </c>
      <c r="C1381" s="1" t="s">
        <v>1016</v>
      </c>
      <c r="D1381" s="1">
        <v>4.0</v>
      </c>
      <c r="E1381" s="1" t="s">
        <v>7</v>
      </c>
      <c r="F1381" s="1">
        <v>390355.0</v>
      </c>
    </row>
    <row r="1382">
      <c r="A1382" s="1">
        <v>1380.0</v>
      </c>
      <c r="B1382" s="1" t="s">
        <v>903</v>
      </c>
      <c r="C1382" s="1" t="s">
        <v>1016</v>
      </c>
      <c r="D1382" s="1">
        <v>4.0</v>
      </c>
      <c r="E1382" s="1" t="s">
        <v>7</v>
      </c>
      <c r="F1382" s="1">
        <v>507676.0</v>
      </c>
    </row>
    <row r="1383">
      <c r="A1383" s="1">
        <v>1381.0</v>
      </c>
      <c r="B1383" s="1" t="s">
        <v>1040</v>
      </c>
      <c r="C1383" s="1" t="s">
        <v>1016</v>
      </c>
      <c r="D1383" s="1">
        <v>4.0</v>
      </c>
      <c r="E1383" s="1" t="s">
        <v>7</v>
      </c>
      <c r="F1383" s="1">
        <v>1254401.0</v>
      </c>
    </row>
    <row r="1384">
      <c r="A1384" s="1">
        <v>1382.0</v>
      </c>
      <c r="B1384" s="1" t="s">
        <v>432</v>
      </c>
      <c r="C1384" s="1" t="s">
        <v>1016</v>
      </c>
      <c r="D1384" s="1">
        <v>3.0</v>
      </c>
      <c r="E1384" s="1" t="s">
        <v>7</v>
      </c>
      <c r="F1384" s="1">
        <v>52065.0</v>
      </c>
    </row>
    <row r="1385">
      <c r="A1385" s="1">
        <v>1383.0</v>
      </c>
      <c r="B1385" s="1" t="s">
        <v>1041</v>
      </c>
      <c r="C1385" s="1" t="s">
        <v>1016</v>
      </c>
      <c r="D1385" s="1">
        <v>3.0</v>
      </c>
      <c r="E1385" s="1" t="s">
        <v>7</v>
      </c>
      <c r="F1385" s="1">
        <v>56.0</v>
      </c>
    </row>
    <row r="1386">
      <c r="A1386" s="1">
        <v>1384.0</v>
      </c>
      <c r="B1386" s="1" t="s">
        <v>1042</v>
      </c>
      <c r="C1386" s="1" t="s">
        <v>1016</v>
      </c>
      <c r="D1386" s="1">
        <v>3.0</v>
      </c>
      <c r="E1386" s="1" t="s">
        <v>7</v>
      </c>
      <c r="F1386" s="1">
        <v>373817.0</v>
      </c>
    </row>
    <row r="1387">
      <c r="A1387" s="1">
        <v>1385.0</v>
      </c>
      <c r="B1387" s="1" t="s">
        <v>65</v>
      </c>
      <c r="C1387" s="1" t="s">
        <v>1016</v>
      </c>
      <c r="D1387" s="1">
        <v>3.0</v>
      </c>
      <c r="E1387" s="1" t="s">
        <v>7</v>
      </c>
      <c r="F1387" s="1">
        <v>28039.0</v>
      </c>
    </row>
    <row r="1388">
      <c r="A1388" s="1">
        <v>1386.0</v>
      </c>
      <c r="B1388" s="1" t="s">
        <v>102</v>
      </c>
      <c r="C1388" s="1" t="s">
        <v>1016</v>
      </c>
      <c r="D1388" s="1">
        <v>3.0</v>
      </c>
      <c r="E1388" s="1" t="s">
        <v>7</v>
      </c>
      <c r="F1388" s="1">
        <v>643705.0</v>
      </c>
    </row>
    <row r="1389">
      <c r="A1389" s="1">
        <v>1387.0</v>
      </c>
      <c r="B1389" s="1" t="s">
        <v>1043</v>
      </c>
      <c r="C1389" s="1" t="s">
        <v>1016</v>
      </c>
      <c r="D1389" s="1">
        <v>3.0</v>
      </c>
      <c r="E1389" s="1" t="s">
        <v>7</v>
      </c>
      <c r="F1389" s="1">
        <v>878427.0</v>
      </c>
    </row>
    <row r="1390">
      <c r="A1390" s="1">
        <v>1388.0</v>
      </c>
      <c r="B1390" s="1" t="s">
        <v>1044</v>
      </c>
      <c r="C1390" s="1" t="s">
        <v>1016</v>
      </c>
      <c r="D1390" s="1">
        <v>3.0</v>
      </c>
      <c r="E1390" s="1" t="s">
        <v>7</v>
      </c>
      <c r="F1390" s="1">
        <v>429124.0</v>
      </c>
    </row>
    <row r="1391">
      <c r="A1391" s="1">
        <v>1389.0</v>
      </c>
      <c r="B1391" s="1" t="s">
        <v>1045</v>
      </c>
      <c r="C1391" s="1" t="s">
        <v>1016</v>
      </c>
      <c r="D1391" s="1">
        <v>3.0</v>
      </c>
      <c r="E1391" s="1" t="s">
        <v>7</v>
      </c>
      <c r="F1391" s="1">
        <v>666696.0</v>
      </c>
    </row>
    <row r="1392">
      <c r="A1392" s="1">
        <v>1390.0</v>
      </c>
      <c r="B1392" s="1" t="s">
        <v>1046</v>
      </c>
      <c r="C1392" s="1" t="s">
        <v>1016</v>
      </c>
      <c r="D1392" s="1">
        <v>3.0</v>
      </c>
      <c r="E1392" s="1" t="s">
        <v>7</v>
      </c>
      <c r="F1392" s="1">
        <v>470000.0</v>
      </c>
    </row>
    <row r="1393">
      <c r="A1393" s="1">
        <v>1391.0</v>
      </c>
      <c r="B1393" s="1" t="s">
        <v>1047</v>
      </c>
      <c r="C1393" s="1" t="s">
        <v>1016</v>
      </c>
      <c r="D1393" s="1">
        <v>3.0</v>
      </c>
      <c r="E1393" s="1" t="s">
        <v>7</v>
      </c>
      <c r="F1393" s="1">
        <v>577021.0</v>
      </c>
    </row>
    <row r="1394">
      <c r="A1394" s="1">
        <v>1392.0</v>
      </c>
      <c r="B1394" s="1" t="s">
        <v>1048</v>
      </c>
      <c r="C1394" s="1" t="s">
        <v>1016</v>
      </c>
      <c r="D1394" s="1">
        <v>3.0</v>
      </c>
      <c r="E1394" s="1" t="s">
        <v>7</v>
      </c>
      <c r="F1394" s="1">
        <v>108.0</v>
      </c>
    </row>
    <row r="1395">
      <c r="A1395" s="1">
        <v>1393.0</v>
      </c>
      <c r="B1395" s="1" t="s">
        <v>1049</v>
      </c>
      <c r="C1395" s="1" t="s">
        <v>1016</v>
      </c>
      <c r="D1395" s="1">
        <v>3.0</v>
      </c>
      <c r="E1395" s="1" t="s">
        <v>7</v>
      </c>
      <c r="F1395" s="1">
        <v>665924.0</v>
      </c>
    </row>
    <row r="1396">
      <c r="A1396" s="1">
        <v>1394.0</v>
      </c>
      <c r="B1396" s="1" t="s">
        <v>196</v>
      </c>
      <c r="C1396" s="1" t="s">
        <v>1016</v>
      </c>
      <c r="D1396" s="1">
        <v>3.0</v>
      </c>
      <c r="E1396" s="1" t="s">
        <v>7</v>
      </c>
      <c r="F1396" s="1">
        <v>669114.0</v>
      </c>
    </row>
    <row r="1397">
      <c r="A1397" s="1">
        <v>1395.0</v>
      </c>
      <c r="B1397" s="1" t="s">
        <v>9</v>
      </c>
      <c r="C1397" s="1" t="s">
        <v>1016</v>
      </c>
      <c r="D1397" s="1">
        <v>3.0</v>
      </c>
      <c r="E1397" s="1" t="s">
        <v>7</v>
      </c>
      <c r="F1397" s="1">
        <v>3.0</v>
      </c>
    </row>
    <row r="1398">
      <c r="A1398" s="1">
        <v>1396.0</v>
      </c>
      <c r="B1398" s="1" t="s">
        <v>1050</v>
      </c>
      <c r="C1398" s="1" t="s">
        <v>1016</v>
      </c>
      <c r="D1398" s="1">
        <v>3.0</v>
      </c>
      <c r="E1398" s="1" t="s">
        <v>7</v>
      </c>
      <c r="F1398" s="1">
        <v>832956.0</v>
      </c>
    </row>
    <row r="1399">
      <c r="A1399" s="1">
        <v>1397.0</v>
      </c>
      <c r="B1399" s="1" t="s">
        <v>1051</v>
      </c>
      <c r="C1399" s="1" t="s">
        <v>1016</v>
      </c>
      <c r="D1399" s="1">
        <v>3.0</v>
      </c>
      <c r="E1399" s="1" t="s">
        <v>7</v>
      </c>
      <c r="F1399" s="1">
        <v>26552.0</v>
      </c>
    </row>
    <row r="1400">
      <c r="A1400" s="1">
        <v>1398.0</v>
      </c>
      <c r="B1400" s="1" t="s">
        <v>1052</v>
      </c>
      <c r="C1400" s="1" t="s">
        <v>1016</v>
      </c>
      <c r="D1400" s="1">
        <v>3.0</v>
      </c>
      <c r="E1400" s="1" t="s">
        <v>7</v>
      </c>
      <c r="F1400" s="1">
        <v>1140522.0</v>
      </c>
    </row>
    <row r="1401">
      <c r="A1401" s="1">
        <v>1399.0</v>
      </c>
      <c r="B1401" s="1" t="s">
        <v>578</v>
      </c>
      <c r="C1401" s="1" t="s">
        <v>1016</v>
      </c>
      <c r="D1401" s="1">
        <v>3.0</v>
      </c>
      <c r="E1401" s="1" t="s">
        <v>7</v>
      </c>
      <c r="F1401" s="1">
        <v>725281.0</v>
      </c>
    </row>
    <row r="1402">
      <c r="A1402" s="1">
        <v>1400.0</v>
      </c>
      <c r="B1402" s="1" t="s">
        <v>549</v>
      </c>
      <c r="C1402" s="1" t="s">
        <v>1016</v>
      </c>
      <c r="D1402" s="1">
        <v>3.0</v>
      </c>
      <c r="E1402" s="1" t="s">
        <v>7</v>
      </c>
      <c r="F1402" s="1">
        <v>712308.0</v>
      </c>
    </row>
    <row r="1403">
      <c r="A1403" s="1">
        <v>1401.0</v>
      </c>
      <c r="B1403" s="1" t="s">
        <v>1053</v>
      </c>
      <c r="C1403" s="1" t="s">
        <v>1016</v>
      </c>
      <c r="D1403" s="1">
        <v>3.0</v>
      </c>
      <c r="E1403" s="1" t="s">
        <v>7</v>
      </c>
      <c r="F1403" s="1">
        <v>35403.0</v>
      </c>
    </row>
    <row r="1404">
      <c r="A1404" s="1">
        <v>1402.0</v>
      </c>
      <c r="B1404" s="1" t="s">
        <v>1054</v>
      </c>
      <c r="C1404" s="1" t="s">
        <v>1016</v>
      </c>
      <c r="D1404" s="1">
        <v>3.0</v>
      </c>
      <c r="E1404" s="1" t="s">
        <v>7</v>
      </c>
      <c r="F1404" s="1">
        <v>253392.0</v>
      </c>
    </row>
    <row r="1405">
      <c r="A1405" s="1">
        <v>1403.0</v>
      </c>
      <c r="B1405" s="1" t="s">
        <v>1055</v>
      </c>
      <c r="C1405" s="1" t="s">
        <v>1016</v>
      </c>
      <c r="D1405" s="1">
        <v>3.0</v>
      </c>
      <c r="E1405" s="1" t="s">
        <v>7</v>
      </c>
      <c r="F1405" s="1">
        <v>166535.0</v>
      </c>
    </row>
    <row r="1406">
      <c r="A1406" s="1">
        <v>1404.0</v>
      </c>
      <c r="B1406" s="1" t="s">
        <v>1056</v>
      </c>
      <c r="C1406" s="1" t="s">
        <v>1016</v>
      </c>
      <c r="D1406" s="1">
        <v>3.0</v>
      </c>
      <c r="E1406" s="1" t="s">
        <v>7</v>
      </c>
      <c r="F1406" s="1">
        <v>640520.0</v>
      </c>
    </row>
    <row r="1407">
      <c r="A1407" s="1">
        <v>1405.0</v>
      </c>
      <c r="B1407" s="1" t="s">
        <v>610</v>
      </c>
      <c r="C1407" s="1" t="s">
        <v>1016</v>
      </c>
      <c r="D1407" s="1">
        <v>3.0</v>
      </c>
      <c r="E1407" s="1" t="s">
        <v>7</v>
      </c>
      <c r="F1407" s="1">
        <v>856466.0</v>
      </c>
    </row>
    <row r="1408">
      <c r="A1408" s="1">
        <v>1406.0</v>
      </c>
      <c r="B1408" s="1" t="s">
        <v>1057</v>
      </c>
      <c r="C1408" s="1" t="s">
        <v>1016</v>
      </c>
      <c r="D1408" s="1">
        <v>3.0</v>
      </c>
      <c r="E1408" s="1" t="s">
        <v>7</v>
      </c>
      <c r="F1408" s="1">
        <v>602066.0</v>
      </c>
    </row>
    <row r="1409">
      <c r="A1409" s="1">
        <v>1407.0</v>
      </c>
      <c r="B1409" s="1" t="s">
        <v>1058</v>
      </c>
      <c r="C1409" s="1" t="s">
        <v>1016</v>
      </c>
      <c r="D1409" s="1">
        <v>3.0</v>
      </c>
      <c r="E1409" s="1" t="s">
        <v>7</v>
      </c>
      <c r="F1409" s="1">
        <v>670000.0</v>
      </c>
    </row>
    <row r="1410">
      <c r="A1410" s="1">
        <v>1408.0</v>
      </c>
      <c r="B1410" s="1" t="s">
        <v>1027</v>
      </c>
      <c r="C1410" s="1" t="s">
        <v>1016</v>
      </c>
      <c r="D1410" s="1">
        <v>3.0</v>
      </c>
      <c r="E1410" s="1" t="s">
        <v>7</v>
      </c>
      <c r="F1410" s="1">
        <v>36790.0</v>
      </c>
    </row>
    <row r="1411">
      <c r="A1411" s="1">
        <v>1409.0</v>
      </c>
      <c r="B1411" s="1" t="s">
        <v>264</v>
      </c>
      <c r="C1411" s="1" t="s">
        <v>1016</v>
      </c>
      <c r="D1411" s="1">
        <v>3.0</v>
      </c>
      <c r="E1411" s="1" t="s">
        <v>7</v>
      </c>
      <c r="F1411" s="1">
        <v>783081.0</v>
      </c>
    </row>
    <row r="1412">
      <c r="A1412" s="1">
        <v>1410.0</v>
      </c>
      <c r="B1412" s="1" t="s">
        <v>274</v>
      </c>
      <c r="C1412" s="1" t="s">
        <v>1016</v>
      </c>
      <c r="D1412" s="1">
        <v>3.0</v>
      </c>
      <c r="E1412" s="1" t="s">
        <v>7</v>
      </c>
      <c r="F1412" s="1">
        <v>43.0</v>
      </c>
    </row>
    <row r="1413">
      <c r="A1413" s="1">
        <v>1411.0</v>
      </c>
      <c r="B1413" s="1" t="s">
        <v>448</v>
      </c>
      <c r="C1413" s="1" t="s">
        <v>1016</v>
      </c>
      <c r="D1413" s="1">
        <v>3.0</v>
      </c>
      <c r="E1413" s="1" t="s">
        <v>7</v>
      </c>
      <c r="F1413" s="1">
        <v>542067.0</v>
      </c>
    </row>
    <row r="1414">
      <c r="A1414" s="1">
        <v>1412.0</v>
      </c>
      <c r="B1414" s="1" t="s">
        <v>45</v>
      </c>
      <c r="C1414" s="1" t="s">
        <v>1016</v>
      </c>
      <c r="D1414" s="1">
        <v>3.0</v>
      </c>
      <c r="E1414" s="1" t="s">
        <v>7</v>
      </c>
      <c r="F1414" s="1">
        <v>898810.0</v>
      </c>
    </row>
    <row r="1415">
      <c r="A1415" s="1">
        <v>1413.0</v>
      </c>
      <c r="B1415" s="1" t="s">
        <v>211</v>
      </c>
      <c r="C1415" s="1" t="s">
        <v>1016</v>
      </c>
      <c r="D1415" s="1">
        <v>3.0</v>
      </c>
      <c r="E1415" s="1" t="s">
        <v>7</v>
      </c>
      <c r="F1415" s="1">
        <v>831051.0</v>
      </c>
    </row>
    <row r="1416">
      <c r="A1416" s="1">
        <v>1414.0</v>
      </c>
      <c r="B1416" s="1" t="s">
        <v>1059</v>
      </c>
      <c r="C1416" s="1" t="s">
        <v>1016</v>
      </c>
      <c r="D1416" s="1">
        <v>3.0</v>
      </c>
      <c r="E1416" s="1" t="s">
        <v>7</v>
      </c>
      <c r="F1416" s="1">
        <v>35.0</v>
      </c>
    </row>
    <row r="1417">
      <c r="A1417" s="1">
        <v>1415.0</v>
      </c>
      <c r="B1417" s="1" t="s">
        <v>1060</v>
      </c>
      <c r="C1417" s="1" t="s">
        <v>1016</v>
      </c>
      <c r="D1417" s="1">
        <v>3.0</v>
      </c>
      <c r="E1417" s="1" t="s">
        <v>7</v>
      </c>
      <c r="F1417" s="1">
        <v>732516.0</v>
      </c>
    </row>
    <row r="1418">
      <c r="A1418" s="1">
        <v>1416.0</v>
      </c>
      <c r="B1418" s="1" t="s">
        <v>544</v>
      </c>
      <c r="C1418" s="1" t="s">
        <v>1016</v>
      </c>
      <c r="D1418" s="1">
        <v>3.0</v>
      </c>
      <c r="E1418" s="1" t="s">
        <v>7</v>
      </c>
      <c r="F1418" s="1">
        <v>83.0</v>
      </c>
    </row>
    <row r="1419">
      <c r="A1419" s="1">
        <v>1417.0</v>
      </c>
      <c r="B1419" s="1" t="s">
        <v>56</v>
      </c>
      <c r="C1419" s="1" t="s">
        <v>1016</v>
      </c>
      <c r="D1419" s="1">
        <v>3.0</v>
      </c>
      <c r="E1419" s="1" t="s">
        <v>7</v>
      </c>
      <c r="F1419" s="1">
        <v>970000.0</v>
      </c>
    </row>
    <row r="1420">
      <c r="A1420" s="1">
        <v>1418.0</v>
      </c>
      <c r="B1420" s="1" t="s">
        <v>555</v>
      </c>
      <c r="C1420" s="1" t="s">
        <v>1016</v>
      </c>
      <c r="D1420" s="1">
        <v>3.0</v>
      </c>
      <c r="E1420" s="1" t="s">
        <v>7</v>
      </c>
      <c r="F1420" s="1">
        <v>72.0</v>
      </c>
    </row>
    <row r="1421">
      <c r="A1421" s="1">
        <v>1419.0</v>
      </c>
      <c r="B1421" s="1" t="s">
        <v>89</v>
      </c>
      <c r="C1421" s="1" t="s">
        <v>1016</v>
      </c>
      <c r="D1421" s="1">
        <v>3.0</v>
      </c>
      <c r="E1421" s="1" t="s">
        <v>7</v>
      </c>
      <c r="F1421" s="1">
        <v>310855.0</v>
      </c>
    </row>
    <row r="1422">
      <c r="A1422" s="1">
        <v>1420.0</v>
      </c>
      <c r="B1422" s="1" t="s">
        <v>1061</v>
      </c>
      <c r="C1422" s="1" t="s">
        <v>1016</v>
      </c>
      <c r="D1422" s="1">
        <v>2.0</v>
      </c>
      <c r="E1422" s="1" t="s">
        <v>7</v>
      </c>
      <c r="F1422" s="1">
        <v>629138.0</v>
      </c>
    </row>
    <row r="1423">
      <c r="A1423" s="1">
        <v>1421.0</v>
      </c>
      <c r="B1423" s="1" t="s">
        <v>1062</v>
      </c>
      <c r="C1423" s="1" t="s">
        <v>1016</v>
      </c>
      <c r="D1423" s="1">
        <v>2.0</v>
      </c>
      <c r="E1423" s="1" t="s">
        <v>7</v>
      </c>
      <c r="F1423" s="1">
        <v>566691.0</v>
      </c>
    </row>
    <row r="1424">
      <c r="A1424" s="1">
        <v>1422.0</v>
      </c>
      <c r="B1424" s="1" t="s">
        <v>95</v>
      </c>
      <c r="C1424" s="1" t="s">
        <v>1016</v>
      </c>
      <c r="D1424" s="1">
        <v>2.0</v>
      </c>
      <c r="E1424" s="1" t="s">
        <v>7</v>
      </c>
      <c r="F1424" s="1">
        <v>1056787.0</v>
      </c>
    </row>
    <row r="1425">
      <c r="A1425" s="1">
        <v>1423.0</v>
      </c>
      <c r="B1425" s="1" t="s">
        <v>48</v>
      </c>
      <c r="C1425" s="1" t="s">
        <v>1016</v>
      </c>
      <c r="D1425" s="1">
        <v>2.0</v>
      </c>
      <c r="E1425" s="1" t="s">
        <v>7</v>
      </c>
      <c r="F1425" s="1">
        <v>789272.0</v>
      </c>
    </row>
    <row r="1426">
      <c r="A1426" s="1">
        <v>1424.0</v>
      </c>
      <c r="B1426" s="1" t="s">
        <v>1063</v>
      </c>
      <c r="C1426" s="1" t="s">
        <v>1016</v>
      </c>
      <c r="D1426" s="1">
        <v>2.0</v>
      </c>
      <c r="E1426" s="1" t="s">
        <v>7</v>
      </c>
      <c r="F1426" s="1">
        <v>126303.0</v>
      </c>
    </row>
    <row r="1427">
      <c r="A1427" s="1">
        <v>1425.0</v>
      </c>
      <c r="B1427" s="1" t="s">
        <v>1064</v>
      </c>
      <c r="C1427" s="1" t="s">
        <v>1016</v>
      </c>
      <c r="D1427" s="1">
        <v>2.0</v>
      </c>
      <c r="E1427" s="1" t="s">
        <v>7</v>
      </c>
      <c r="F1427" s="1">
        <v>717222.0</v>
      </c>
    </row>
    <row r="1428">
      <c r="A1428" s="1">
        <v>1426.0</v>
      </c>
      <c r="B1428" s="1" t="s">
        <v>144</v>
      </c>
      <c r="C1428" s="1" t="s">
        <v>1016</v>
      </c>
      <c r="D1428" s="1">
        <v>2.0</v>
      </c>
      <c r="E1428" s="1" t="s">
        <v>7</v>
      </c>
      <c r="F1428" s="1">
        <v>1065391.0</v>
      </c>
    </row>
    <row r="1429">
      <c r="A1429" s="1">
        <v>1427.0</v>
      </c>
      <c r="B1429" s="1" t="s">
        <v>1065</v>
      </c>
      <c r="C1429" s="1" t="s">
        <v>1016</v>
      </c>
      <c r="D1429" s="1">
        <v>2.0</v>
      </c>
      <c r="E1429" s="1" t="s">
        <v>7</v>
      </c>
      <c r="F1429" s="1">
        <v>17879.0</v>
      </c>
    </row>
    <row r="1430">
      <c r="A1430" s="1">
        <v>1428.0</v>
      </c>
      <c r="B1430" s="1" t="s">
        <v>1066</v>
      </c>
      <c r="C1430" s="1" t="s">
        <v>1016</v>
      </c>
      <c r="D1430" s="1">
        <v>2.0</v>
      </c>
      <c r="E1430" s="1" t="s">
        <v>7</v>
      </c>
      <c r="F1430" s="1">
        <v>755874.0</v>
      </c>
    </row>
    <row r="1431">
      <c r="A1431" s="1">
        <v>1429.0</v>
      </c>
      <c r="B1431" s="1" t="s">
        <v>1067</v>
      </c>
      <c r="C1431" s="1" t="s">
        <v>1016</v>
      </c>
      <c r="D1431" s="1">
        <v>2.0</v>
      </c>
      <c r="E1431" s="1" t="s">
        <v>7</v>
      </c>
      <c r="F1431" s="1">
        <v>17518.0</v>
      </c>
    </row>
    <row r="1432">
      <c r="A1432" s="1">
        <v>1430.0</v>
      </c>
      <c r="B1432" s="1" t="s">
        <v>1068</v>
      </c>
      <c r="C1432" s="1" t="s">
        <v>1016</v>
      </c>
      <c r="D1432" s="1">
        <v>2.0</v>
      </c>
      <c r="E1432" s="1" t="s">
        <v>7</v>
      </c>
      <c r="F1432" s="1">
        <v>78241.0</v>
      </c>
    </row>
    <row r="1433">
      <c r="A1433" s="1">
        <v>1431.0</v>
      </c>
      <c r="B1433" s="1" t="s">
        <v>1069</v>
      </c>
      <c r="C1433" s="1" t="s">
        <v>1016</v>
      </c>
      <c r="D1433" s="1">
        <v>2.0</v>
      </c>
      <c r="E1433" s="1" t="s">
        <v>7</v>
      </c>
      <c r="F1433" s="1">
        <v>17012.0</v>
      </c>
    </row>
    <row r="1434">
      <c r="A1434" s="1">
        <v>1432.0</v>
      </c>
      <c r="B1434" s="1" t="s">
        <v>1070</v>
      </c>
      <c r="C1434" s="1" t="s">
        <v>1016</v>
      </c>
      <c r="D1434" s="1">
        <v>2.0</v>
      </c>
      <c r="E1434" s="1" t="s">
        <v>7</v>
      </c>
      <c r="F1434" s="1">
        <v>373694.0</v>
      </c>
    </row>
    <row r="1435">
      <c r="A1435" s="1">
        <v>1433.0</v>
      </c>
      <c r="B1435" s="1" t="s">
        <v>111</v>
      </c>
      <c r="C1435" s="1" t="s">
        <v>1016</v>
      </c>
      <c r="D1435" s="1">
        <v>2.0</v>
      </c>
      <c r="E1435" s="1" t="s">
        <v>7</v>
      </c>
      <c r="F1435" s="1">
        <v>60481.0</v>
      </c>
    </row>
    <row r="1436">
      <c r="A1436" s="1">
        <v>1434.0</v>
      </c>
      <c r="B1436" s="1" t="s">
        <v>1071</v>
      </c>
      <c r="C1436" s="1" t="s">
        <v>1016</v>
      </c>
      <c r="D1436" s="1">
        <v>2.0</v>
      </c>
      <c r="E1436" s="1" t="s">
        <v>7</v>
      </c>
      <c r="F1436" s="1">
        <v>15341.0</v>
      </c>
    </row>
    <row r="1437">
      <c r="A1437" s="1">
        <v>1435.0</v>
      </c>
      <c r="B1437" s="1" t="s">
        <v>178</v>
      </c>
      <c r="C1437" s="1" t="s">
        <v>1016</v>
      </c>
      <c r="D1437" s="1">
        <v>2.0</v>
      </c>
      <c r="E1437" s="1" t="s">
        <v>7</v>
      </c>
      <c r="F1437" s="1">
        <v>63.0</v>
      </c>
    </row>
    <row r="1438">
      <c r="A1438" s="1">
        <v>1436.0</v>
      </c>
      <c r="B1438" s="1" t="s">
        <v>177</v>
      </c>
      <c r="C1438" s="1" t="s">
        <v>1016</v>
      </c>
      <c r="D1438" s="1">
        <v>2.0</v>
      </c>
      <c r="E1438" s="1" t="s">
        <v>7</v>
      </c>
      <c r="F1438" s="1">
        <v>1472465.0</v>
      </c>
    </row>
    <row r="1439">
      <c r="A1439" s="1">
        <v>1437.0</v>
      </c>
      <c r="B1439" s="1" t="s">
        <v>1072</v>
      </c>
      <c r="C1439" s="1" t="s">
        <v>1016</v>
      </c>
      <c r="D1439" s="1">
        <v>2.0</v>
      </c>
      <c r="E1439" s="1" t="s">
        <v>7</v>
      </c>
      <c r="F1439" s="1">
        <v>462580.0</v>
      </c>
    </row>
    <row r="1440">
      <c r="A1440" s="1">
        <v>1438.0</v>
      </c>
      <c r="B1440" s="1" t="s">
        <v>1073</v>
      </c>
      <c r="C1440" s="1" t="s">
        <v>1016</v>
      </c>
      <c r="D1440" s="1">
        <v>2.0</v>
      </c>
      <c r="E1440" s="1" t="s">
        <v>7</v>
      </c>
      <c r="F1440" s="1">
        <v>349318.0</v>
      </c>
    </row>
    <row r="1441">
      <c r="A1441" s="1">
        <v>1439.0</v>
      </c>
      <c r="B1441" s="1" t="s">
        <v>547</v>
      </c>
      <c r="C1441" s="1" t="s">
        <v>1016</v>
      </c>
      <c r="D1441" s="1">
        <v>2.0</v>
      </c>
      <c r="E1441" s="1" t="s">
        <v>7</v>
      </c>
      <c r="F1441" s="1">
        <v>1049677.0</v>
      </c>
    </row>
    <row r="1442">
      <c r="A1442" s="1">
        <v>1440.0</v>
      </c>
      <c r="B1442" s="1" t="s">
        <v>1074</v>
      </c>
      <c r="C1442" s="1" t="s">
        <v>1016</v>
      </c>
      <c r="D1442" s="1">
        <v>2.0</v>
      </c>
      <c r="E1442" s="1" t="s">
        <v>7</v>
      </c>
      <c r="F1442" s="1">
        <v>757692.0</v>
      </c>
    </row>
    <row r="1443">
      <c r="A1443" s="1">
        <v>1441.0</v>
      </c>
      <c r="B1443" s="1" t="s">
        <v>9</v>
      </c>
      <c r="C1443" s="1" t="s">
        <v>1016</v>
      </c>
      <c r="D1443" s="1">
        <v>35.0</v>
      </c>
      <c r="E1443" s="1" t="s">
        <v>614</v>
      </c>
      <c r="F1443" s="1">
        <v>523086.0</v>
      </c>
    </row>
    <row r="1444">
      <c r="A1444" s="1">
        <v>1442.0</v>
      </c>
      <c r="B1444" s="1" t="s">
        <v>12</v>
      </c>
      <c r="C1444" s="1" t="s">
        <v>1016</v>
      </c>
      <c r="D1444" s="1">
        <v>28.0</v>
      </c>
      <c r="E1444" s="1" t="s">
        <v>614</v>
      </c>
      <c r="F1444" s="1">
        <v>538184.0</v>
      </c>
    </row>
    <row r="1445">
      <c r="A1445" s="1">
        <v>1443.0</v>
      </c>
      <c r="B1445" s="1" t="s">
        <v>16</v>
      </c>
      <c r="C1445" s="1" t="s">
        <v>1016</v>
      </c>
      <c r="D1445" s="1">
        <v>26.0</v>
      </c>
      <c r="E1445" s="1" t="s">
        <v>614</v>
      </c>
      <c r="F1445" s="1">
        <v>537527.0</v>
      </c>
    </row>
    <row r="1446">
      <c r="A1446" s="1">
        <v>1444.0</v>
      </c>
      <c r="B1446" s="1" t="s">
        <v>664</v>
      </c>
      <c r="C1446" s="1" t="s">
        <v>1016</v>
      </c>
      <c r="D1446" s="1">
        <v>22.0</v>
      </c>
      <c r="E1446" s="1" t="s">
        <v>614</v>
      </c>
      <c r="F1446" s="1">
        <v>263857.0</v>
      </c>
    </row>
    <row r="1447">
      <c r="A1447" s="1">
        <v>1445.0</v>
      </c>
      <c r="B1447" s="1" t="s">
        <v>14</v>
      </c>
      <c r="C1447" s="1" t="s">
        <v>1016</v>
      </c>
      <c r="D1447" s="1">
        <v>17.0</v>
      </c>
      <c r="E1447" s="1" t="s">
        <v>614</v>
      </c>
      <c r="F1447" s="1">
        <v>429137.0</v>
      </c>
    </row>
    <row r="1448">
      <c r="A1448" s="1">
        <v>1446.0</v>
      </c>
      <c r="B1448" s="1" t="s">
        <v>33</v>
      </c>
      <c r="C1448" s="1" t="s">
        <v>1016</v>
      </c>
      <c r="D1448" s="1">
        <v>14.0</v>
      </c>
      <c r="E1448" s="1" t="s">
        <v>614</v>
      </c>
      <c r="F1448" s="1">
        <v>334986.0</v>
      </c>
    </row>
    <row r="1449">
      <c r="A1449" s="1">
        <v>1447.0</v>
      </c>
      <c r="B1449" s="1" t="s">
        <v>688</v>
      </c>
      <c r="C1449" s="1" t="s">
        <v>1016</v>
      </c>
      <c r="D1449" s="1">
        <v>12.0</v>
      </c>
      <c r="E1449" s="1" t="s">
        <v>614</v>
      </c>
      <c r="F1449" s="1">
        <v>12938.0</v>
      </c>
    </row>
    <row r="1450">
      <c r="A1450" s="1">
        <v>1448.0</v>
      </c>
      <c r="B1450" s="1" t="s">
        <v>11</v>
      </c>
      <c r="C1450" s="1" t="s">
        <v>1016</v>
      </c>
      <c r="D1450" s="1">
        <v>11.0</v>
      </c>
      <c r="E1450" s="1" t="s">
        <v>614</v>
      </c>
      <c r="F1450" s="1">
        <v>581174.0</v>
      </c>
    </row>
    <row r="1451">
      <c r="A1451" s="1">
        <v>1449.0</v>
      </c>
      <c r="B1451" s="1" t="s">
        <v>774</v>
      </c>
      <c r="C1451" s="1" t="s">
        <v>1016</v>
      </c>
      <c r="D1451" s="1">
        <v>11.0</v>
      </c>
      <c r="E1451" s="1" t="s">
        <v>614</v>
      </c>
      <c r="F1451" s="1">
        <v>371397.0</v>
      </c>
    </row>
    <row r="1452">
      <c r="A1452" s="1">
        <v>1450.0</v>
      </c>
      <c r="B1452" s="1" t="s">
        <v>69</v>
      </c>
      <c r="C1452" s="1" t="s">
        <v>1016</v>
      </c>
      <c r="D1452" s="1">
        <v>10.0</v>
      </c>
      <c r="E1452" s="1" t="s">
        <v>614</v>
      </c>
      <c r="F1452" s="1">
        <v>712615.0</v>
      </c>
    </row>
    <row r="1453">
      <c r="A1453" s="1">
        <v>1451.0</v>
      </c>
      <c r="B1453" s="1" t="s">
        <v>620</v>
      </c>
      <c r="C1453" s="1" t="s">
        <v>1016</v>
      </c>
      <c r="D1453" s="1">
        <v>10.0</v>
      </c>
      <c r="E1453" s="1" t="s">
        <v>614</v>
      </c>
      <c r="F1453" s="1">
        <v>426237.0</v>
      </c>
    </row>
    <row r="1454">
      <c r="A1454" s="1">
        <v>1452.0</v>
      </c>
      <c r="B1454" s="1" t="s">
        <v>629</v>
      </c>
      <c r="C1454" s="1" t="s">
        <v>1016</v>
      </c>
      <c r="D1454" s="1">
        <v>10.0</v>
      </c>
      <c r="E1454" s="1" t="s">
        <v>614</v>
      </c>
      <c r="F1454" s="1">
        <v>861638.0</v>
      </c>
    </row>
    <row r="1455">
      <c r="A1455" s="1">
        <v>1453.0</v>
      </c>
      <c r="B1455" s="1" t="s">
        <v>311</v>
      </c>
      <c r="C1455" s="1" t="s">
        <v>1016</v>
      </c>
      <c r="D1455" s="1">
        <v>7.0</v>
      </c>
      <c r="E1455" s="1" t="s">
        <v>614</v>
      </c>
      <c r="F1455" s="1">
        <v>923233.0</v>
      </c>
    </row>
    <row r="1456">
      <c r="A1456" s="1">
        <v>1454.0</v>
      </c>
      <c r="B1456" s="1" t="s">
        <v>77</v>
      </c>
      <c r="C1456" s="1" t="s">
        <v>1016</v>
      </c>
      <c r="D1456" s="1">
        <v>6.0</v>
      </c>
      <c r="E1456" s="1" t="s">
        <v>614</v>
      </c>
      <c r="F1456" s="1">
        <v>1109047.0</v>
      </c>
    </row>
    <row r="1457">
      <c r="A1457" s="1">
        <v>1455.0</v>
      </c>
      <c r="B1457" s="1" t="s">
        <v>1032</v>
      </c>
      <c r="C1457" s="1" t="s">
        <v>1016</v>
      </c>
      <c r="D1457" s="1">
        <v>6.0</v>
      </c>
      <c r="E1457" s="1" t="s">
        <v>614</v>
      </c>
      <c r="F1457" s="1">
        <v>33204.0</v>
      </c>
    </row>
    <row r="1458">
      <c r="A1458" s="1">
        <v>1456.0</v>
      </c>
      <c r="B1458" s="1" t="s">
        <v>1075</v>
      </c>
      <c r="C1458" s="1" t="s">
        <v>1016</v>
      </c>
      <c r="D1458" s="1">
        <v>6.0</v>
      </c>
      <c r="E1458" s="1" t="s">
        <v>614</v>
      </c>
      <c r="F1458" s="1">
        <v>33190.0</v>
      </c>
    </row>
    <row r="1459">
      <c r="A1459" s="1">
        <v>1457.0</v>
      </c>
      <c r="B1459" s="1" t="s">
        <v>104</v>
      </c>
      <c r="C1459" s="1" t="s">
        <v>1016</v>
      </c>
      <c r="D1459" s="1">
        <v>5.0</v>
      </c>
      <c r="E1459" s="1" t="s">
        <v>614</v>
      </c>
      <c r="F1459" s="1">
        <v>359583.0</v>
      </c>
    </row>
    <row r="1460">
      <c r="A1460" s="1">
        <v>1458.0</v>
      </c>
      <c r="B1460" s="1" t="s">
        <v>632</v>
      </c>
      <c r="C1460" s="1" t="s">
        <v>1016</v>
      </c>
      <c r="D1460" s="1">
        <v>5.0</v>
      </c>
      <c r="E1460" s="1" t="s">
        <v>614</v>
      </c>
      <c r="F1460" s="1">
        <v>536700.0</v>
      </c>
    </row>
    <row r="1461">
      <c r="A1461" s="1">
        <v>1459.0</v>
      </c>
      <c r="B1461" s="1" t="s">
        <v>679</v>
      </c>
      <c r="C1461" s="1" t="s">
        <v>1016</v>
      </c>
      <c r="D1461" s="1">
        <v>5.0</v>
      </c>
      <c r="E1461" s="1" t="s">
        <v>614</v>
      </c>
      <c r="F1461" s="1">
        <v>487335.0</v>
      </c>
    </row>
    <row r="1462">
      <c r="A1462" s="1">
        <v>1460.0</v>
      </c>
      <c r="B1462" s="1" t="s">
        <v>1076</v>
      </c>
      <c r="C1462" s="1" t="s">
        <v>1016</v>
      </c>
      <c r="D1462" s="1">
        <v>5.0</v>
      </c>
      <c r="E1462" s="1" t="s">
        <v>614</v>
      </c>
      <c r="F1462" s="1">
        <v>192631.0</v>
      </c>
    </row>
    <row r="1463">
      <c r="A1463" s="1">
        <v>1461.0</v>
      </c>
      <c r="B1463" s="1" t="s">
        <v>1077</v>
      </c>
      <c r="C1463" s="1" t="s">
        <v>1016</v>
      </c>
      <c r="D1463" s="1">
        <v>5.0</v>
      </c>
      <c r="E1463" s="1" t="s">
        <v>614</v>
      </c>
      <c r="F1463" s="1">
        <v>474309.0</v>
      </c>
    </row>
    <row r="1464">
      <c r="A1464" s="1">
        <v>1462.0</v>
      </c>
      <c r="B1464" s="1" t="s">
        <v>622</v>
      </c>
      <c r="C1464" s="1" t="s">
        <v>1016</v>
      </c>
      <c r="D1464" s="1">
        <v>4.0</v>
      </c>
      <c r="E1464" s="1" t="s">
        <v>614</v>
      </c>
      <c r="F1464" s="1">
        <v>522447.0</v>
      </c>
    </row>
    <row r="1465">
      <c r="A1465" s="1">
        <v>1463.0</v>
      </c>
      <c r="B1465" s="1" t="s">
        <v>469</v>
      </c>
      <c r="C1465" s="1" t="s">
        <v>1016</v>
      </c>
      <c r="D1465" s="1">
        <v>4.0</v>
      </c>
      <c r="E1465" s="1" t="s">
        <v>614</v>
      </c>
      <c r="F1465" s="1">
        <v>345526.0</v>
      </c>
    </row>
    <row r="1466">
      <c r="A1466" s="1">
        <v>1464.0</v>
      </c>
      <c r="B1466" s="1" t="s">
        <v>577</v>
      </c>
      <c r="C1466" s="1" t="s">
        <v>1016</v>
      </c>
      <c r="D1466" s="1">
        <v>4.0</v>
      </c>
      <c r="E1466" s="1" t="s">
        <v>614</v>
      </c>
      <c r="F1466" s="1">
        <v>661761.0</v>
      </c>
    </row>
    <row r="1467">
      <c r="A1467" s="1">
        <v>1465.0</v>
      </c>
      <c r="B1467" s="1" t="s">
        <v>693</v>
      </c>
      <c r="C1467" s="1" t="s">
        <v>1016</v>
      </c>
      <c r="D1467" s="1">
        <v>4.0</v>
      </c>
      <c r="E1467" s="1" t="s">
        <v>614</v>
      </c>
      <c r="F1467" s="1">
        <v>1005277.0</v>
      </c>
    </row>
    <row r="1468">
      <c r="A1468" s="1">
        <v>1466.0</v>
      </c>
      <c r="B1468" s="1" t="s">
        <v>584</v>
      </c>
      <c r="C1468" s="1" t="s">
        <v>1016</v>
      </c>
      <c r="D1468" s="1">
        <v>4.0</v>
      </c>
      <c r="E1468" s="1" t="s">
        <v>614</v>
      </c>
      <c r="F1468" s="1">
        <v>1028877.0</v>
      </c>
    </row>
    <row r="1469">
      <c r="A1469" s="1">
        <v>1467.0</v>
      </c>
      <c r="B1469" s="1" t="s">
        <v>628</v>
      </c>
      <c r="C1469" s="1" t="s">
        <v>1016</v>
      </c>
      <c r="D1469" s="1">
        <v>4.0</v>
      </c>
      <c r="E1469" s="1" t="s">
        <v>614</v>
      </c>
      <c r="F1469" s="1">
        <v>102.0</v>
      </c>
    </row>
    <row r="1470">
      <c r="A1470" s="1">
        <v>1468.0</v>
      </c>
      <c r="B1470" s="1" t="s">
        <v>775</v>
      </c>
      <c r="C1470" s="1" t="s">
        <v>1016</v>
      </c>
      <c r="D1470" s="1">
        <v>4.0</v>
      </c>
      <c r="E1470" s="1" t="s">
        <v>614</v>
      </c>
      <c r="F1470" s="1">
        <v>937282.0</v>
      </c>
    </row>
    <row r="1471">
      <c r="A1471" s="1">
        <v>1469.0</v>
      </c>
      <c r="B1471" s="1" t="s">
        <v>1078</v>
      </c>
      <c r="C1471" s="1" t="s">
        <v>1016</v>
      </c>
      <c r="D1471" s="1">
        <v>4.0</v>
      </c>
      <c r="E1471" s="1" t="s">
        <v>614</v>
      </c>
      <c r="F1471" s="1">
        <v>279712.0</v>
      </c>
    </row>
    <row r="1472">
      <c r="A1472" s="1">
        <v>1470.0</v>
      </c>
      <c r="B1472" s="1" t="s">
        <v>217</v>
      </c>
      <c r="C1472" s="1" t="s">
        <v>1016</v>
      </c>
      <c r="D1472" s="1">
        <v>4.0</v>
      </c>
      <c r="E1472" s="1" t="s">
        <v>614</v>
      </c>
      <c r="F1472" s="1">
        <v>640451.0</v>
      </c>
    </row>
    <row r="1473">
      <c r="A1473" s="1">
        <v>1471.0</v>
      </c>
      <c r="B1473" s="1" t="s">
        <v>1079</v>
      </c>
      <c r="C1473" s="1" t="s">
        <v>1016</v>
      </c>
      <c r="D1473" s="1">
        <v>4.0</v>
      </c>
      <c r="E1473" s="1" t="s">
        <v>614</v>
      </c>
      <c r="F1473" s="1">
        <v>921294.0</v>
      </c>
    </row>
    <row r="1474">
      <c r="A1474" s="1">
        <v>1472.0</v>
      </c>
      <c r="B1474" s="1" t="s">
        <v>1080</v>
      </c>
      <c r="C1474" s="1" t="s">
        <v>1016</v>
      </c>
      <c r="D1474" s="1">
        <v>4.0</v>
      </c>
      <c r="E1474" s="1" t="s">
        <v>614</v>
      </c>
      <c r="F1474" s="1">
        <v>17736.0</v>
      </c>
    </row>
    <row r="1475">
      <c r="A1475" s="1">
        <v>1473.0</v>
      </c>
      <c r="B1475" s="1" t="s">
        <v>176</v>
      </c>
      <c r="C1475" s="1" t="s">
        <v>1016</v>
      </c>
      <c r="D1475" s="1">
        <v>4.0</v>
      </c>
      <c r="E1475" s="1" t="s">
        <v>614</v>
      </c>
      <c r="F1475" s="1">
        <v>381703.0</v>
      </c>
    </row>
    <row r="1476">
      <c r="A1476" s="1">
        <v>1474.0</v>
      </c>
      <c r="B1476" s="1" t="s">
        <v>1081</v>
      </c>
      <c r="C1476" s="1" t="s">
        <v>1016</v>
      </c>
      <c r="D1476" s="1">
        <v>3.0</v>
      </c>
      <c r="E1476" s="1" t="s">
        <v>614</v>
      </c>
      <c r="F1476" s="1">
        <v>63.0</v>
      </c>
    </row>
    <row r="1477">
      <c r="A1477" s="1">
        <v>1475.0</v>
      </c>
      <c r="B1477" s="1" t="s">
        <v>618</v>
      </c>
      <c r="C1477" s="1" t="s">
        <v>1016</v>
      </c>
      <c r="D1477" s="1">
        <v>3.0</v>
      </c>
      <c r="E1477" s="1" t="s">
        <v>614</v>
      </c>
      <c r="F1477" s="1">
        <v>837449.0</v>
      </c>
    </row>
    <row r="1478">
      <c r="A1478" s="1">
        <v>1476.0</v>
      </c>
      <c r="B1478" s="1" t="s">
        <v>640</v>
      </c>
      <c r="C1478" s="1" t="s">
        <v>1016</v>
      </c>
      <c r="D1478" s="1">
        <v>3.0</v>
      </c>
      <c r="E1478" s="1" t="s">
        <v>614</v>
      </c>
      <c r="F1478" s="1">
        <v>225861.0</v>
      </c>
    </row>
    <row r="1479">
      <c r="A1479" s="1">
        <v>1477.0</v>
      </c>
      <c r="B1479" s="1" t="s">
        <v>1082</v>
      </c>
      <c r="C1479" s="1" t="s">
        <v>1016</v>
      </c>
      <c r="D1479" s="1">
        <v>3.0</v>
      </c>
      <c r="E1479" s="1" t="s">
        <v>614</v>
      </c>
      <c r="F1479" s="1">
        <v>33148.0</v>
      </c>
    </row>
    <row r="1480">
      <c r="A1480" s="1">
        <v>1478.0</v>
      </c>
      <c r="B1480" s="1" t="s">
        <v>611</v>
      </c>
      <c r="C1480" s="1" t="s">
        <v>1016</v>
      </c>
      <c r="D1480" s="1">
        <v>3.0</v>
      </c>
      <c r="E1480" s="1" t="s">
        <v>614</v>
      </c>
      <c r="F1480" s="1">
        <v>1656855.0</v>
      </c>
    </row>
    <row r="1481">
      <c r="A1481" s="1">
        <v>1479.0</v>
      </c>
      <c r="B1481" s="1" t="s">
        <v>1083</v>
      </c>
      <c r="C1481" s="1" t="s">
        <v>1016</v>
      </c>
      <c r="D1481" s="1">
        <v>3.0</v>
      </c>
      <c r="E1481" s="1" t="s">
        <v>614</v>
      </c>
      <c r="F1481" s="1">
        <v>44608.0</v>
      </c>
    </row>
    <row r="1482">
      <c r="A1482" s="1">
        <v>1480.0</v>
      </c>
      <c r="B1482" s="1" t="s">
        <v>131</v>
      </c>
      <c r="C1482" s="1" t="s">
        <v>1016</v>
      </c>
      <c r="D1482" s="1">
        <v>3.0</v>
      </c>
      <c r="E1482" s="1" t="s">
        <v>614</v>
      </c>
      <c r="F1482" s="1">
        <v>829909.0</v>
      </c>
    </row>
    <row r="1483">
      <c r="A1483" s="1">
        <v>1481.0</v>
      </c>
      <c r="B1483" s="1" t="s">
        <v>1084</v>
      </c>
      <c r="C1483" s="1" t="s">
        <v>1016</v>
      </c>
      <c r="D1483" s="1">
        <v>3.0</v>
      </c>
      <c r="E1483" s="1" t="s">
        <v>614</v>
      </c>
      <c r="F1483" s="1">
        <v>72.0</v>
      </c>
    </row>
    <row r="1484">
      <c r="A1484" s="1">
        <v>1482.0</v>
      </c>
      <c r="B1484" s="1" t="s">
        <v>1085</v>
      </c>
      <c r="C1484" s="1" t="s">
        <v>1016</v>
      </c>
      <c r="D1484" s="1">
        <v>3.0</v>
      </c>
      <c r="E1484" s="1" t="s">
        <v>614</v>
      </c>
      <c r="F1484" s="1">
        <v>15724.0</v>
      </c>
    </row>
    <row r="1485">
      <c r="A1485" s="1">
        <v>1483.0</v>
      </c>
      <c r="B1485" s="1" t="s">
        <v>1086</v>
      </c>
      <c r="C1485" s="1" t="s">
        <v>1016</v>
      </c>
      <c r="D1485" s="1">
        <v>3.0</v>
      </c>
      <c r="E1485" s="1" t="s">
        <v>614</v>
      </c>
      <c r="F1485" s="1">
        <v>466577.0</v>
      </c>
    </row>
    <row r="1486">
      <c r="A1486" s="1">
        <v>1484.0</v>
      </c>
      <c r="B1486" s="1" t="s">
        <v>631</v>
      </c>
      <c r="C1486" s="1" t="s">
        <v>1016</v>
      </c>
      <c r="D1486" s="1">
        <v>3.0</v>
      </c>
      <c r="E1486" s="1" t="s">
        <v>614</v>
      </c>
      <c r="F1486" s="1">
        <v>19.0</v>
      </c>
    </row>
    <row r="1487">
      <c r="A1487" s="1">
        <v>1485.0</v>
      </c>
      <c r="B1487" s="1" t="s">
        <v>8</v>
      </c>
      <c r="C1487" s="1" t="s">
        <v>1016</v>
      </c>
      <c r="D1487" s="1">
        <v>3.0</v>
      </c>
      <c r="E1487" s="1" t="s">
        <v>614</v>
      </c>
      <c r="F1487" s="1">
        <v>66.0</v>
      </c>
    </row>
    <row r="1488">
      <c r="A1488" s="1">
        <v>1486.0</v>
      </c>
      <c r="B1488" s="1" t="s">
        <v>1087</v>
      </c>
      <c r="C1488" s="1" t="s">
        <v>1016</v>
      </c>
      <c r="D1488" s="1">
        <v>3.0</v>
      </c>
      <c r="E1488" s="1" t="s">
        <v>614</v>
      </c>
      <c r="F1488" s="1">
        <v>422946.0</v>
      </c>
    </row>
    <row r="1489">
      <c r="A1489" s="1">
        <v>1487.0</v>
      </c>
      <c r="B1489" s="1" t="s">
        <v>1088</v>
      </c>
      <c r="C1489" s="1" t="s">
        <v>1016</v>
      </c>
      <c r="D1489" s="1">
        <v>3.0</v>
      </c>
      <c r="E1489" s="1" t="s">
        <v>614</v>
      </c>
      <c r="F1489" s="1">
        <v>55995.0</v>
      </c>
    </row>
    <row r="1490">
      <c r="A1490" s="1">
        <v>1488.0</v>
      </c>
      <c r="B1490" s="1" t="s">
        <v>40</v>
      </c>
      <c r="C1490" s="1" t="s">
        <v>1016</v>
      </c>
      <c r="D1490" s="1">
        <v>3.0</v>
      </c>
      <c r="E1490" s="1" t="s">
        <v>614</v>
      </c>
      <c r="F1490" s="1">
        <v>62.0</v>
      </c>
    </row>
    <row r="1491">
      <c r="A1491" s="1">
        <v>1489.0</v>
      </c>
      <c r="B1491" s="1" t="s">
        <v>698</v>
      </c>
      <c r="C1491" s="1" t="s">
        <v>1016</v>
      </c>
      <c r="D1491" s="1">
        <v>3.0</v>
      </c>
      <c r="E1491" s="1" t="s">
        <v>614</v>
      </c>
      <c r="F1491" s="1">
        <v>377367.0</v>
      </c>
    </row>
    <row r="1492">
      <c r="A1492" s="1">
        <v>1490.0</v>
      </c>
      <c r="B1492" s="1" t="s">
        <v>1089</v>
      </c>
      <c r="C1492" s="1" t="s">
        <v>1016</v>
      </c>
      <c r="D1492" s="1">
        <v>2.0</v>
      </c>
      <c r="E1492" s="1" t="s">
        <v>614</v>
      </c>
      <c r="F1492" s="1">
        <v>36204.0</v>
      </c>
    </row>
    <row r="1493">
      <c r="A1493" s="1">
        <v>1491.0</v>
      </c>
      <c r="B1493" s="1" t="s">
        <v>1090</v>
      </c>
      <c r="C1493" s="1" t="s">
        <v>1016</v>
      </c>
      <c r="D1493" s="1">
        <v>2.0</v>
      </c>
      <c r="E1493" s="1" t="s">
        <v>614</v>
      </c>
      <c r="F1493" s="1">
        <v>69456.0</v>
      </c>
    </row>
    <row r="1494">
      <c r="A1494" s="1">
        <v>1492.0</v>
      </c>
      <c r="B1494" s="1" t="s">
        <v>1091</v>
      </c>
      <c r="C1494" s="1" t="s">
        <v>1016</v>
      </c>
      <c r="D1494" s="1">
        <v>2.0</v>
      </c>
      <c r="E1494" s="1" t="s">
        <v>614</v>
      </c>
      <c r="F1494" s="1">
        <v>399044.0</v>
      </c>
    </row>
    <row r="1495">
      <c r="A1495" s="1">
        <v>1493.0</v>
      </c>
      <c r="B1495" s="1" t="s">
        <v>1092</v>
      </c>
      <c r="C1495" s="1" t="s">
        <v>1016</v>
      </c>
      <c r="D1495" s="1">
        <v>2.0</v>
      </c>
      <c r="E1495" s="1" t="s">
        <v>614</v>
      </c>
      <c r="F1495" s="1">
        <v>32796.0</v>
      </c>
    </row>
    <row r="1496">
      <c r="A1496" s="1">
        <v>1494.0</v>
      </c>
      <c r="B1496" s="1" t="s">
        <v>777</v>
      </c>
      <c r="C1496" s="1" t="s">
        <v>1016</v>
      </c>
      <c r="D1496" s="1">
        <v>2.0</v>
      </c>
      <c r="E1496" s="1" t="s">
        <v>614</v>
      </c>
      <c r="F1496" s="1">
        <v>492899.0</v>
      </c>
    </row>
    <row r="1497">
      <c r="A1497" s="1">
        <v>1495.0</v>
      </c>
      <c r="B1497" s="1" t="s">
        <v>1093</v>
      </c>
      <c r="C1497" s="1" t="s">
        <v>1016</v>
      </c>
      <c r="D1497" s="1">
        <v>2.0</v>
      </c>
      <c r="E1497" s="1" t="s">
        <v>614</v>
      </c>
      <c r="F1497" s="1">
        <v>65051.0</v>
      </c>
    </row>
    <row r="1498">
      <c r="A1498" s="1">
        <v>1496.0</v>
      </c>
      <c r="B1498" s="1" t="s">
        <v>1094</v>
      </c>
      <c r="C1498" s="1" t="s">
        <v>1016</v>
      </c>
      <c r="D1498" s="1">
        <v>2.0</v>
      </c>
      <c r="E1498" s="1" t="s">
        <v>614</v>
      </c>
      <c r="F1498" s="1">
        <v>716000.0</v>
      </c>
    </row>
    <row r="1499">
      <c r="A1499" s="1">
        <v>1497.0</v>
      </c>
      <c r="B1499" s="1" t="s">
        <v>16</v>
      </c>
      <c r="C1499" s="1" t="s">
        <v>1016</v>
      </c>
      <c r="D1499" s="1">
        <v>2.0</v>
      </c>
      <c r="E1499" s="1" t="s">
        <v>614</v>
      </c>
      <c r="F1499" s="1">
        <v>8623.0</v>
      </c>
    </row>
    <row r="1500">
      <c r="A1500" s="1">
        <v>1498.0</v>
      </c>
      <c r="B1500" s="1" t="s">
        <v>1095</v>
      </c>
      <c r="C1500" s="1" t="s">
        <v>1016</v>
      </c>
      <c r="D1500" s="1">
        <v>2.0</v>
      </c>
      <c r="E1500" s="1" t="s">
        <v>614</v>
      </c>
      <c r="F1500" s="1">
        <v>24414.0</v>
      </c>
    </row>
    <row r="1501">
      <c r="A1501" s="1">
        <v>1499.0</v>
      </c>
      <c r="B1501" s="1" t="s">
        <v>637</v>
      </c>
      <c r="C1501" s="1" t="s">
        <v>1016</v>
      </c>
      <c r="D1501" s="1">
        <v>2.0</v>
      </c>
      <c r="E1501" s="1" t="s">
        <v>614</v>
      </c>
      <c r="F1501" s="1">
        <v>984306.0</v>
      </c>
    </row>
    <row r="1502">
      <c r="A1502" s="1">
        <v>1500.0</v>
      </c>
      <c r="B1502" s="1" t="s">
        <v>29</v>
      </c>
      <c r="C1502" s="1" t="s">
        <v>1016</v>
      </c>
      <c r="D1502" s="1">
        <v>2.0</v>
      </c>
      <c r="E1502" s="1" t="s">
        <v>614</v>
      </c>
      <c r="F1502" s="1">
        <v>920124.0</v>
      </c>
    </row>
    <row r="1503">
      <c r="A1503" s="1">
        <v>1501.0</v>
      </c>
      <c r="B1503" s="1" t="s">
        <v>1096</v>
      </c>
      <c r="C1503" s="1" t="s">
        <v>1016</v>
      </c>
      <c r="D1503" s="1">
        <v>2.0</v>
      </c>
      <c r="E1503" s="1" t="s">
        <v>614</v>
      </c>
      <c r="F1503" s="1">
        <v>22892.0</v>
      </c>
    </row>
    <row r="1504">
      <c r="A1504" s="1">
        <v>1502.0</v>
      </c>
      <c r="B1504" s="1" t="s">
        <v>1097</v>
      </c>
      <c r="C1504" s="1" t="s">
        <v>1016</v>
      </c>
      <c r="D1504" s="1">
        <v>2.0</v>
      </c>
      <c r="E1504" s="1" t="s">
        <v>614</v>
      </c>
      <c r="F1504" s="1">
        <v>982170.0</v>
      </c>
    </row>
    <row r="1505">
      <c r="A1505" s="1">
        <v>1503.0</v>
      </c>
      <c r="B1505" s="1" t="s">
        <v>129</v>
      </c>
      <c r="C1505" s="1" t="s">
        <v>1016</v>
      </c>
      <c r="D1505" s="1">
        <v>2.0</v>
      </c>
      <c r="E1505" s="1" t="s">
        <v>614</v>
      </c>
      <c r="F1505" s="1">
        <v>671997.0</v>
      </c>
    </row>
    <row r="1506">
      <c r="A1506" s="1">
        <v>1504.0</v>
      </c>
      <c r="B1506" s="1" t="s">
        <v>405</v>
      </c>
      <c r="C1506" s="1" t="s">
        <v>1016</v>
      </c>
      <c r="D1506" s="1">
        <v>2.0</v>
      </c>
      <c r="E1506" s="1" t="s">
        <v>614</v>
      </c>
      <c r="F1506" s="1">
        <v>1388485.0</v>
      </c>
    </row>
    <row r="1507">
      <c r="A1507" s="1">
        <v>1505.0</v>
      </c>
      <c r="B1507" s="1" t="s">
        <v>665</v>
      </c>
      <c r="C1507" s="1" t="s">
        <v>1016</v>
      </c>
      <c r="D1507" s="1">
        <v>2.0</v>
      </c>
      <c r="E1507" s="1" t="s">
        <v>614</v>
      </c>
      <c r="F1507" s="1">
        <v>4.0</v>
      </c>
    </row>
    <row r="1508">
      <c r="A1508" s="1">
        <v>1506.0</v>
      </c>
      <c r="B1508" s="1" t="s">
        <v>625</v>
      </c>
      <c r="C1508" s="1" t="s">
        <v>1016</v>
      </c>
      <c r="D1508" s="1">
        <v>2.0</v>
      </c>
      <c r="E1508" s="1" t="s">
        <v>614</v>
      </c>
      <c r="F1508" s="1">
        <v>726953.0</v>
      </c>
    </row>
    <row r="1509">
      <c r="A1509" s="1">
        <v>1507.0</v>
      </c>
      <c r="B1509" s="1" t="s">
        <v>1098</v>
      </c>
      <c r="C1509" s="1" t="s">
        <v>1016</v>
      </c>
      <c r="D1509" s="1">
        <v>2.0</v>
      </c>
      <c r="E1509" s="1" t="s">
        <v>614</v>
      </c>
      <c r="F1509" s="1">
        <v>1677629.0</v>
      </c>
    </row>
    <row r="1510">
      <c r="A1510" s="1">
        <v>1508.0</v>
      </c>
      <c r="B1510" s="1" t="s">
        <v>612</v>
      </c>
      <c r="C1510" s="1" t="s">
        <v>1016</v>
      </c>
      <c r="D1510" s="1">
        <v>2.0</v>
      </c>
      <c r="E1510" s="1" t="s">
        <v>614</v>
      </c>
      <c r="F1510" s="1">
        <v>20788.0</v>
      </c>
    </row>
    <row r="1511">
      <c r="A1511" s="1">
        <v>1509.0</v>
      </c>
      <c r="B1511" s="1" t="s">
        <v>1035</v>
      </c>
      <c r="C1511" s="1" t="s">
        <v>1016</v>
      </c>
      <c r="D1511" s="1">
        <v>2.0</v>
      </c>
      <c r="E1511" s="1" t="s">
        <v>614</v>
      </c>
      <c r="F1511" s="1">
        <v>117467.0</v>
      </c>
    </row>
    <row r="1512">
      <c r="A1512" s="1">
        <v>1510.0</v>
      </c>
      <c r="B1512" s="1" t="s">
        <v>662</v>
      </c>
      <c r="C1512" s="1" t="s">
        <v>1016</v>
      </c>
      <c r="D1512" s="1">
        <v>2.0</v>
      </c>
      <c r="E1512" s="1" t="s">
        <v>614</v>
      </c>
      <c r="F1512" s="1">
        <v>468499.0</v>
      </c>
    </row>
    <row r="1513">
      <c r="A1513" s="1">
        <v>1511.0</v>
      </c>
      <c r="B1513" s="1" t="s">
        <v>1039</v>
      </c>
      <c r="C1513" s="1" t="s">
        <v>1016</v>
      </c>
      <c r="D1513" s="1">
        <v>2.0</v>
      </c>
      <c r="E1513" s="1" t="s">
        <v>614</v>
      </c>
      <c r="F1513" s="1">
        <v>27269.0</v>
      </c>
    </row>
    <row r="1514">
      <c r="A1514" s="1">
        <v>1512.0</v>
      </c>
      <c r="B1514" s="1" t="s">
        <v>1099</v>
      </c>
      <c r="C1514" s="1" t="s">
        <v>1016</v>
      </c>
      <c r="D1514" s="1">
        <v>2.0</v>
      </c>
      <c r="E1514" s="1" t="s">
        <v>614</v>
      </c>
      <c r="F1514" s="1">
        <v>13152.0</v>
      </c>
    </row>
    <row r="1515">
      <c r="A1515" s="1">
        <v>1513.0</v>
      </c>
      <c r="B1515" s="1" t="s">
        <v>1100</v>
      </c>
      <c r="C1515" s="1" t="s">
        <v>1016</v>
      </c>
      <c r="D1515" s="1">
        <v>2.0</v>
      </c>
      <c r="E1515" s="1" t="s">
        <v>614</v>
      </c>
      <c r="F1515" s="1">
        <v>51846.0</v>
      </c>
    </row>
    <row r="1516">
      <c r="A1516" s="1">
        <v>1514.0</v>
      </c>
      <c r="B1516" s="1" t="s">
        <v>1101</v>
      </c>
      <c r="C1516" s="1" t="s">
        <v>1016</v>
      </c>
      <c r="D1516" s="1">
        <v>2.0</v>
      </c>
      <c r="E1516" s="1" t="s">
        <v>614</v>
      </c>
      <c r="F1516" s="1">
        <v>18750.0</v>
      </c>
    </row>
    <row r="1517">
      <c r="A1517" s="1">
        <v>1515.0</v>
      </c>
      <c r="B1517" s="1" t="s">
        <v>1102</v>
      </c>
      <c r="C1517" s="1" t="s">
        <v>1016</v>
      </c>
      <c r="D1517" s="1">
        <v>2.0</v>
      </c>
      <c r="E1517" s="1" t="s">
        <v>614</v>
      </c>
      <c r="F1517" s="1">
        <v>50659.0</v>
      </c>
    </row>
    <row r="1518">
      <c r="A1518" s="1">
        <v>1516.0</v>
      </c>
      <c r="B1518" s="1" t="s">
        <v>665</v>
      </c>
      <c r="C1518" s="1" t="s">
        <v>1016</v>
      </c>
      <c r="D1518" s="1">
        <v>2.0</v>
      </c>
      <c r="E1518" s="1" t="s">
        <v>614</v>
      </c>
      <c r="F1518" s="1">
        <v>559098.0</v>
      </c>
    </row>
    <row r="1519">
      <c r="A1519" s="1">
        <v>1517.0</v>
      </c>
      <c r="B1519" s="1" t="s">
        <v>630</v>
      </c>
      <c r="C1519" s="1" t="s">
        <v>1016</v>
      </c>
      <c r="D1519" s="1">
        <v>2.0</v>
      </c>
      <c r="E1519" s="1" t="s">
        <v>614</v>
      </c>
      <c r="F1519" s="1">
        <v>41676.0</v>
      </c>
    </row>
    <row r="1520">
      <c r="A1520" s="1">
        <v>1518.0</v>
      </c>
      <c r="B1520" s="1" t="s">
        <v>1103</v>
      </c>
      <c r="C1520" s="1" t="s">
        <v>1016</v>
      </c>
      <c r="D1520" s="1">
        <v>2.0</v>
      </c>
      <c r="E1520" s="1" t="s">
        <v>614</v>
      </c>
      <c r="F1520" s="1">
        <v>38526.0</v>
      </c>
    </row>
    <row r="1521">
      <c r="A1521" s="1">
        <v>1519.0</v>
      </c>
      <c r="B1521" s="1" t="s">
        <v>1104</v>
      </c>
      <c r="C1521" s="1" t="s">
        <v>1016</v>
      </c>
      <c r="D1521" s="1">
        <v>2.0</v>
      </c>
      <c r="E1521" s="1" t="s">
        <v>614</v>
      </c>
      <c r="F1521" s="1">
        <v>23253.0</v>
      </c>
    </row>
    <row r="1522">
      <c r="A1522" s="1">
        <v>1520.0</v>
      </c>
      <c r="B1522" s="1" t="s">
        <v>1105</v>
      </c>
      <c r="C1522" s="1" t="s">
        <v>1016</v>
      </c>
      <c r="D1522" s="1">
        <v>2.0</v>
      </c>
      <c r="E1522" s="1" t="s">
        <v>614</v>
      </c>
      <c r="F1522" s="1">
        <v>30014.0</v>
      </c>
    </row>
    <row r="1523">
      <c r="A1523" s="1">
        <v>1521.0</v>
      </c>
      <c r="B1523" s="1" t="s">
        <v>1106</v>
      </c>
      <c r="C1523" s="1" t="s">
        <v>1016</v>
      </c>
      <c r="D1523" s="1">
        <v>2.0</v>
      </c>
      <c r="E1523" s="1" t="s">
        <v>614</v>
      </c>
      <c r="F1523" s="1">
        <v>540737.0</v>
      </c>
    </row>
    <row r="1524">
      <c r="A1524" s="1">
        <v>1522.0</v>
      </c>
      <c r="B1524" s="1" t="s">
        <v>1107</v>
      </c>
      <c r="C1524" s="1" t="s">
        <v>1016</v>
      </c>
      <c r="D1524" s="1">
        <v>2.0</v>
      </c>
      <c r="E1524" s="1" t="s">
        <v>614</v>
      </c>
      <c r="F1524" s="1">
        <v>22904.0</v>
      </c>
    </row>
    <row r="1525">
      <c r="A1525" s="1">
        <v>1523.0</v>
      </c>
      <c r="B1525" s="1" t="s">
        <v>1108</v>
      </c>
      <c r="C1525" s="1" t="s">
        <v>1016</v>
      </c>
      <c r="D1525" s="1">
        <v>2.0</v>
      </c>
      <c r="E1525" s="1" t="s">
        <v>614</v>
      </c>
      <c r="F1525" s="1">
        <v>2460.0</v>
      </c>
    </row>
    <row r="1526">
      <c r="A1526" s="1">
        <v>1524.0</v>
      </c>
      <c r="B1526" s="1" t="s">
        <v>684</v>
      </c>
      <c r="C1526" s="1" t="s">
        <v>1016</v>
      </c>
      <c r="D1526" s="1">
        <v>2.0</v>
      </c>
      <c r="E1526" s="1" t="s">
        <v>614</v>
      </c>
      <c r="F1526" s="1">
        <v>658975.0</v>
      </c>
    </row>
    <row r="1527">
      <c r="A1527" s="1">
        <v>1525.0</v>
      </c>
      <c r="B1527" s="1" t="s">
        <v>173</v>
      </c>
      <c r="C1527" s="1" t="s">
        <v>1016</v>
      </c>
      <c r="D1527" s="1">
        <v>2.0</v>
      </c>
      <c r="E1527" s="1" t="s">
        <v>614</v>
      </c>
      <c r="F1527" s="1">
        <v>20891.0</v>
      </c>
    </row>
    <row r="1528">
      <c r="A1528" s="1">
        <v>1526.0</v>
      </c>
      <c r="B1528" s="1" t="s">
        <v>960</v>
      </c>
      <c r="C1528" s="1" t="s">
        <v>1016</v>
      </c>
      <c r="D1528" s="1">
        <v>2.0</v>
      </c>
      <c r="E1528" s="1" t="s">
        <v>614</v>
      </c>
      <c r="F1528" s="1">
        <v>30039.0</v>
      </c>
    </row>
    <row r="1529">
      <c r="A1529" s="1">
        <v>1527.0</v>
      </c>
      <c r="B1529" s="1" t="s">
        <v>1109</v>
      </c>
      <c r="C1529" s="1" t="s">
        <v>1016</v>
      </c>
      <c r="D1529" s="1">
        <v>2.0</v>
      </c>
      <c r="E1529" s="1" t="s">
        <v>614</v>
      </c>
      <c r="F1529" s="1">
        <v>16147.0</v>
      </c>
    </row>
    <row r="1530">
      <c r="A1530" s="1">
        <v>1528.0</v>
      </c>
      <c r="B1530" s="1" t="s">
        <v>1110</v>
      </c>
      <c r="C1530" s="1" t="s">
        <v>1016</v>
      </c>
      <c r="D1530" s="1">
        <v>2.0</v>
      </c>
      <c r="E1530" s="1" t="s">
        <v>614</v>
      </c>
      <c r="F1530" s="1">
        <v>421223.0</v>
      </c>
    </row>
    <row r="1531">
      <c r="A1531" s="1">
        <v>1529.0</v>
      </c>
      <c r="B1531" s="1" t="s">
        <v>1018</v>
      </c>
      <c r="C1531" s="1" t="s">
        <v>1016</v>
      </c>
      <c r="D1531" s="1">
        <v>2.0</v>
      </c>
      <c r="E1531" s="1" t="s">
        <v>614</v>
      </c>
      <c r="F1531" s="1">
        <v>472340.0</v>
      </c>
    </row>
    <row r="1532">
      <c r="A1532" s="1">
        <v>1530.0</v>
      </c>
      <c r="B1532" s="1" t="s">
        <v>176</v>
      </c>
      <c r="C1532" s="1" t="s">
        <v>1016</v>
      </c>
      <c r="D1532" s="1">
        <v>2.0</v>
      </c>
      <c r="E1532" s="1" t="s">
        <v>614</v>
      </c>
      <c r="F1532" s="1">
        <v>277519.0</v>
      </c>
    </row>
    <row r="1533">
      <c r="A1533" s="1">
        <v>1531.0</v>
      </c>
      <c r="B1533" s="1" t="s">
        <v>646</v>
      </c>
      <c r="C1533" s="1" t="s">
        <v>1016</v>
      </c>
      <c r="D1533" s="1">
        <v>2.0</v>
      </c>
      <c r="E1533" s="1" t="s">
        <v>614</v>
      </c>
      <c r="F1533" s="1">
        <v>318228.0</v>
      </c>
    </row>
    <row r="1534">
      <c r="A1534" s="1">
        <v>1532.0</v>
      </c>
      <c r="B1534" s="1" t="s">
        <v>117</v>
      </c>
      <c r="C1534" s="1" t="s">
        <v>1016</v>
      </c>
      <c r="D1534" s="1">
        <v>2.0</v>
      </c>
      <c r="E1534" s="1" t="s">
        <v>614</v>
      </c>
      <c r="F1534" s="1">
        <v>730679.0</v>
      </c>
    </row>
    <row r="1535">
      <c r="A1535" s="1">
        <v>1533.0</v>
      </c>
      <c r="B1535" s="1" t="s">
        <v>1111</v>
      </c>
      <c r="C1535" s="1" t="s">
        <v>1016</v>
      </c>
      <c r="D1535" s="1">
        <v>2.0</v>
      </c>
      <c r="E1535" s="1" t="s">
        <v>614</v>
      </c>
      <c r="F1535" s="1">
        <v>31533.0</v>
      </c>
    </row>
    <row r="1536">
      <c r="A1536" s="1">
        <v>1534.0</v>
      </c>
      <c r="B1536" s="1" t="s">
        <v>677</v>
      </c>
      <c r="C1536" s="1" t="s">
        <v>1016</v>
      </c>
      <c r="D1536" s="1">
        <v>2.0</v>
      </c>
      <c r="E1536" s="1" t="s">
        <v>614</v>
      </c>
      <c r="F1536" s="1">
        <v>10295.0</v>
      </c>
    </row>
    <row r="1537">
      <c r="A1537" s="1">
        <v>1535.0</v>
      </c>
      <c r="B1537" s="1" t="s">
        <v>1112</v>
      </c>
      <c r="C1537" s="1" t="s">
        <v>1016</v>
      </c>
      <c r="D1537" s="1">
        <v>2.0</v>
      </c>
      <c r="E1537" s="1" t="s">
        <v>614</v>
      </c>
      <c r="F1537" s="1">
        <v>438266.0</v>
      </c>
    </row>
    <row r="1538">
      <c r="A1538" s="1">
        <v>1536.0</v>
      </c>
      <c r="B1538" s="1" t="s">
        <v>1113</v>
      </c>
      <c r="C1538" s="1" t="s">
        <v>1016</v>
      </c>
      <c r="D1538" s="1">
        <v>2.0</v>
      </c>
      <c r="E1538" s="1" t="s">
        <v>614</v>
      </c>
      <c r="F1538" s="1">
        <v>37616.0</v>
      </c>
    </row>
    <row r="1539">
      <c r="A1539" s="1">
        <v>1537.0</v>
      </c>
      <c r="B1539" s="1" t="s">
        <v>1114</v>
      </c>
      <c r="C1539" s="1" t="s">
        <v>1016</v>
      </c>
      <c r="D1539" s="1">
        <v>1.0</v>
      </c>
      <c r="E1539" s="1" t="s">
        <v>614</v>
      </c>
      <c r="F1539" s="1">
        <v>53.0</v>
      </c>
    </row>
    <row r="1540">
      <c r="A1540" s="1">
        <v>1538.0</v>
      </c>
      <c r="B1540" s="1" t="s">
        <v>1115</v>
      </c>
      <c r="C1540" s="1" t="s">
        <v>1016</v>
      </c>
      <c r="D1540" s="1">
        <v>1.0</v>
      </c>
      <c r="E1540" s="1" t="s">
        <v>614</v>
      </c>
      <c r="F1540" s="1">
        <v>55566.0</v>
      </c>
    </row>
    <row r="1541">
      <c r="A1541" s="1">
        <v>1539.0</v>
      </c>
      <c r="B1541" s="1" t="s">
        <v>1116</v>
      </c>
      <c r="C1541" s="1" t="s">
        <v>1016</v>
      </c>
      <c r="D1541" s="1">
        <v>1.0</v>
      </c>
      <c r="E1541" s="1" t="s">
        <v>614</v>
      </c>
      <c r="F1541" s="1">
        <v>18570.0</v>
      </c>
    </row>
    <row r="1542">
      <c r="A1542" s="1">
        <v>1540.0</v>
      </c>
      <c r="B1542" s="1" t="s">
        <v>1117</v>
      </c>
      <c r="C1542" s="1" t="s">
        <v>1016</v>
      </c>
      <c r="D1542" s="1">
        <v>1.0</v>
      </c>
      <c r="E1542" s="1" t="s">
        <v>614</v>
      </c>
      <c r="F1542" s="1">
        <v>29.0</v>
      </c>
    </row>
    <row r="1543">
      <c r="A1543" s="1">
        <v>1541.0</v>
      </c>
      <c r="B1543" s="1" t="s">
        <v>1118</v>
      </c>
      <c r="C1543" s="1" t="s">
        <v>1016</v>
      </c>
      <c r="D1543" s="1">
        <v>1.0</v>
      </c>
      <c r="E1543" s="1" t="s">
        <v>614</v>
      </c>
      <c r="F1543" s="1">
        <v>207368.0</v>
      </c>
    </row>
    <row r="1544">
      <c r="A1544" s="1">
        <v>1542.0</v>
      </c>
      <c r="B1544" s="1" t="s">
        <v>1119</v>
      </c>
      <c r="C1544" s="1" t="s">
        <v>1016</v>
      </c>
      <c r="D1544" s="1">
        <v>1.0</v>
      </c>
      <c r="E1544" s="1" t="s">
        <v>614</v>
      </c>
      <c r="F1544" s="1">
        <v>35563.0</v>
      </c>
    </row>
    <row r="1545">
      <c r="A1545" s="1">
        <v>1543.0</v>
      </c>
      <c r="B1545" s="1" t="s">
        <v>1120</v>
      </c>
      <c r="C1545" s="1" t="s">
        <v>1016</v>
      </c>
      <c r="D1545" s="1">
        <v>1.0</v>
      </c>
      <c r="E1545" s="1" t="s">
        <v>614</v>
      </c>
      <c r="F1545" s="1">
        <v>64.0</v>
      </c>
    </row>
    <row r="1546">
      <c r="A1546" s="1">
        <v>1545.0</v>
      </c>
      <c r="C1546" s="1" t="s">
        <v>1016</v>
      </c>
      <c r="D1546" s="1">
        <v>1.0</v>
      </c>
      <c r="E1546" s="1" t="s">
        <v>614</v>
      </c>
      <c r="F1546" s="1">
        <v>23500.0</v>
      </c>
    </row>
    <row r="1547">
      <c r="A1547" s="1">
        <v>1546.0</v>
      </c>
      <c r="B1547" s="1" t="s">
        <v>1121</v>
      </c>
      <c r="C1547" s="1" t="s">
        <v>1016</v>
      </c>
      <c r="D1547" s="1">
        <v>1.0</v>
      </c>
      <c r="E1547" s="1" t="s">
        <v>614</v>
      </c>
      <c r="F1547" s="1">
        <v>423155.0</v>
      </c>
    </row>
    <row r="1548">
      <c r="A1548" s="1">
        <v>1547.0</v>
      </c>
      <c r="B1548" s="1" t="s">
        <v>1122</v>
      </c>
      <c r="C1548" s="1" t="s">
        <v>1016</v>
      </c>
      <c r="D1548" s="1">
        <v>1.0</v>
      </c>
      <c r="E1548" s="1" t="s">
        <v>614</v>
      </c>
      <c r="F1548" s="1">
        <v>84698.0</v>
      </c>
    </row>
    <row r="1549">
      <c r="A1549" s="1">
        <v>1548.0</v>
      </c>
      <c r="B1549" s="1" t="s">
        <v>1123</v>
      </c>
      <c r="C1549" s="1" t="s">
        <v>1016</v>
      </c>
      <c r="D1549" s="1">
        <v>1.0</v>
      </c>
      <c r="E1549" s="1" t="s">
        <v>614</v>
      </c>
      <c r="F1549" s="1">
        <v>540810.0</v>
      </c>
    </row>
    <row r="1550">
      <c r="A1550" s="1">
        <v>1549.0</v>
      </c>
      <c r="B1550" s="1" t="s">
        <v>1124</v>
      </c>
      <c r="C1550" s="1" t="s">
        <v>1016</v>
      </c>
      <c r="D1550" s="1">
        <v>1.0</v>
      </c>
      <c r="E1550" s="1" t="s">
        <v>614</v>
      </c>
      <c r="F1550" s="1">
        <v>615475.0</v>
      </c>
    </row>
    <row r="1551">
      <c r="A1551" s="1">
        <v>1550.0</v>
      </c>
      <c r="B1551" s="1" t="s">
        <v>1125</v>
      </c>
      <c r="C1551" s="1" t="s">
        <v>1016</v>
      </c>
      <c r="D1551" s="1">
        <v>1.0</v>
      </c>
      <c r="E1551" s="1" t="s">
        <v>614</v>
      </c>
      <c r="F1551" s="1">
        <v>600676.0</v>
      </c>
    </row>
    <row r="1552">
      <c r="A1552" s="1">
        <v>1551.0</v>
      </c>
      <c r="B1552" s="1" t="s">
        <v>1126</v>
      </c>
      <c r="C1552" s="1" t="s">
        <v>1016</v>
      </c>
      <c r="D1552" s="1">
        <v>1.0</v>
      </c>
      <c r="E1552" s="1" t="s">
        <v>614</v>
      </c>
      <c r="F1552" s="1">
        <v>21457.0</v>
      </c>
    </row>
    <row r="1553">
      <c r="A1553" s="1">
        <v>1552.0</v>
      </c>
      <c r="B1553" s="1" t="s">
        <v>1127</v>
      </c>
      <c r="C1553" s="1" t="s">
        <v>1016</v>
      </c>
      <c r="D1553" s="1">
        <v>1.0</v>
      </c>
      <c r="E1553" s="1" t="s">
        <v>614</v>
      </c>
      <c r="F1553" s="1">
        <v>2010.0</v>
      </c>
    </row>
    <row r="1554">
      <c r="A1554" s="1">
        <v>1553.0</v>
      </c>
      <c r="B1554" s="1" t="s">
        <v>1128</v>
      </c>
      <c r="C1554" s="1" t="s">
        <v>1016</v>
      </c>
      <c r="D1554" s="1">
        <v>1.0</v>
      </c>
      <c r="E1554" s="1" t="s">
        <v>614</v>
      </c>
      <c r="F1554" s="1">
        <v>79.0</v>
      </c>
    </row>
    <row r="1555">
      <c r="A1555" s="1">
        <v>1554.0</v>
      </c>
      <c r="B1555" s="1" t="s">
        <v>1129</v>
      </c>
      <c r="C1555" s="1" t="s">
        <v>1016</v>
      </c>
      <c r="D1555" s="1">
        <v>1.0</v>
      </c>
      <c r="E1555" s="1" t="s">
        <v>614</v>
      </c>
      <c r="F1555" s="1">
        <v>155.0</v>
      </c>
    </row>
    <row r="1556">
      <c r="A1556" s="1">
        <v>1555.0</v>
      </c>
      <c r="B1556" s="1" t="s">
        <v>1130</v>
      </c>
      <c r="C1556" s="1" t="s">
        <v>1016</v>
      </c>
      <c r="D1556" s="1">
        <v>1.0</v>
      </c>
      <c r="E1556" s="1" t="s">
        <v>614</v>
      </c>
      <c r="F1556" s="1">
        <v>681045.0</v>
      </c>
    </row>
    <row r="1557">
      <c r="A1557" s="1">
        <v>1556.0</v>
      </c>
      <c r="B1557" s="1" t="s">
        <v>1131</v>
      </c>
      <c r="C1557" s="1" t="s">
        <v>1016</v>
      </c>
      <c r="D1557" s="1">
        <v>1.0</v>
      </c>
      <c r="E1557" s="1" t="s">
        <v>614</v>
      </c>
      <c r="F1557" s="1">
        <v>1932460.0</v>
      </c>
    </row>
    <row r="1558">
      <c r="A1558" s="1">
        <v>1557.0</v>
      </c>
      <c r="B1558" s="1" t="s">
        <v>1132</v>
      </c>
      <c r="C1558" s="1" t="s">
        <v>1016</v>
      </c>
      <c r="D1558" s="1">
        <v>1.0</v>
      </c>
      <c r="E1558" s="1" t="s">
        <v>614</v>
      </c>
      <c r="F1558" s="1">
        <v>24722.0</v>
      </c>
    </row>
    <row r="1559">
      <c r="A1559" s="1">
        <v>1558.0</v>
      </c>
      <c r="B1559" s="1" t="s">
        <v>11</v>
      </c>
      <c r="C1559" s="1" t="s">
        <v>1016</v>
      </c>
      <c r="D1559" s="1">
        <v>1.0</v>
      </c>
      <c r="E1559" s="1" t="s">
        <v>614</v>
      </c>
      <c r="F1559" s="1">
        <v>18036.0</v>
      </c>
    </row>
    <row r="1560">
      <c r="A1560" s="1">
        <v>1559.0</v>
      </c>
      <c r="B1560" s="1" t="s">
        <v>1133</v>
      </c>
      <c r="C1560" s="1" t="s">
        <v>1016</v>
      </c>
      <c r="D1560" s="1">
        <v>1.0</v>
      </c>
      <c r="E1560" s="1" t="s">
        <v>614</v>
      </c>
      <c r="F1560" s="1">
        <v>191655.0</v>
      </c>
    </row>
    <row r="1561">
      <c r="A1561" s="1">
        <v>1560.0</v>
      </c>
      <c r="B1561" s="1" t="s">
        <v>1134</v>
      </c>
      <c r="C1561" s="1" t="s">
        <v>1016</v>
      </c>
      <c r="D1561" s="1">
        <v>1.0</v>
      </c>
      <c r="E1561" s="1" t="s">
        <v>614</v>
      </c>
      <c r="F1561" s="1">
        <v>8922.0</v>
      </c>
    </row>
    <row r="1562">
      <c r="A1562" s="1">
        <v>1561.0</v>
      </c>
      <c r="B1562" s="1" t="s">
        <v>1135</v>
      </c>
      <c r="C1562" s="1" t="s">
        <v>1016</v>
      </c>
      <c r="D1562" s="1">
        <v>1.0</v>
      </c>
      <c r="E1562" s="1" t="s">
        <v>614</v>
      </c>
      <c r="F1562" s="1">
        <v>73.0</v>
      </c>
    </row>
    <row r="1563">
      <c r="A1563" s="1">
        <v>1562.0</v>
      </c>
      <c r="B1563" s="1" t="s">
        <v>1136</v>
      </c>
      <c r="C1563" s="1" t="s">
        <v>1016</v>
      </c>
      <c r="D1563" s="1">
        <v>1.0</v>
      </c>
      <c r="E1563" s="1" t="s">
        <v>614</v>
      </c>
      <c r="F1563" s="1">
        <v>11.0</v>
      </c>
    </row>
    <row r="1564">
      <c r="A1564" s="1">
        <v>1563.0</v>
      </c>
      <c r="B1564" s="1" t="s">
        <v>1137</v>
      </c>
      <c r="C1564" s="1" t="s">
        <v>1016</v>
      </c>
      <c r="D1564" s="1">
        <v>1.0</v>
      </c>
      <c r="E1564" s="1" t="s">
        <v>614</v>
      </c>
      <c r="F1564" s="1">
        <v>36266.0</v>
      </c>
    </row>
    <row r="1565">
      <c r="A1565" s="1">
        <v>1564.0</v>
      </c>
      <c r="B1565" s="1" t="s">
        <v>1138</v>
      </c>
      <c r="C1565" s="1" t="s">
        <v>1016</v>
      </c>
      <c r="D1565" s="1">
        <v>1.0</v>
      </c>
      <c r="E1565" s="1" t="s">
        <v>614</v>
      </c>
      <c r="F1565" s="1">
        <v>20633.0</v>
      </c>
    </row>
    <row r="1566">
      <c r="A1566" s="1">
        <v>1565.0</v>
      </c>
      <c r="B1566" s="1" t="s">
        <v>942</v>
      </c>
      <c r="C1566" s="1" t="s">
        <v>1016</v>
      </c>
      <c r="D1566" s="1">
        <v>1.0</v>
      </c>
      <c r="E1566" s="1" t="s">
        <v>614</v>
      </c>
      <c r="F1566" s="1">
        <v>40195.0</v>
      </c>
    </row>
    <row r="1567">
      <c r="A1567" s="1">
        <v>1566.0</v>
      </c>
      <c r="B1567" s="1" t="s">
        <v>1139</v>
      </c>
      <c r="C1567" s="1" t="s">
        <v>1016</v>
      </c>
      <c r="D1567" s="1">
        <v>1.0</v>
      </c>
      <c r="E1567" s="1" t="s">
        <v>614</v>
      </c>
      <c r="F1567" s="1">
        <v>59632.0</v>
      </c>
    </row>
    <row r="1568">
      <c r="A1568" s="1">
        <v>1567.0</v>
      </c>
      <c r="B1568" s="1" t="s">
        <v>1140</v>
      </c>
      <c r="C1568" s="1" t="s">
        <v>1016</v>
      </c>
      <c r="D1568" s="1">
        <v>1.0</v>
      </c>
      <c r="E1568" s="1" t="s">
        <v>614</v>
      </c>
      <c r="F1568" s="1">
        <v>552686.0</v>
      </c>
    </row>
    <row r="1569">
      <c r="A1569" s="1">
        <v>1568.0</v>
      </c>
      <c r="B1569" s="1" t="s">
        <v>1141</v>
      </c>
      <c r="C1569" s="1" t="s">
        <v>1016</v>
      </c>
      <c r="D1569" s="1">
        <v>1.0</v>
      </c>
      <c r="E1569" s="1" t="s">
        <v>614</v>
      </c>
      <c r="F1569" s="1">
        <v>386492.0</v>
      </c>
    </row>
    <row r="1570">
      <c r="A1570" s="1">
        <v>1569.0</v>
      </c>
      <c r="B1570" s="1" t="s">
        <v>394</v>
      </c>
      <c r="C1570" s="1" t="s">
        <v>1016</v>
      </c>
      <c r="D1570" s="1">
        <v>1.0</v>
      </c>
      <c r="E1570" s="1" t="s">
        <v>614</v>
      </c>
      <c r="F1570" s="1">
        <v>73405.0</v>
      </c>
    </row>
    <row r="1571">
      <c r="A1571" s="1">
        <v>1570.0</v>
      </c>
      <c r="B1571" s="1" t="s">
        <v>1142</v>
      </c>
      <c r="C1571" s="1" t="s">
        <v>1016</v>
      </c>
      <c r="D1571" s="1">
        <v>1.0</v>
      </c>
      <c r="E1571" s="1" t="s">
        <v>614</v>
      </c>
      <c r="F1571" s="1">
        <v>376209.0</v>
      </c>
    </row>
    <row r="1572">
      <c r="A1572" s="1">
        <v>1571.0</v>
      </c>
      <c r="B1572" s="1" t="s">
        <v>669</v>
      </c>
      <c r="C1572" s="1" t="s">
        <v>1016</v>
      </c>
      <c r="D1572" s="1">
        <v>1.0</v>
      </c>
      <c r="E1572" s="1" t="s">
        <v>614</v>
      </c>
      <c r="F1572" s="1">
        <v>397707.0</v>
      </c>
    </row>
    <row r="1573">
      <c r="A1573" s="1">
        <v>1572.0</v>
      </c>
      <c r="B1573" s="1" t="s">
        <v>1143</v>
      </c>
      <c r="C1573" s="1" t="s">
        <v>1016</v>
      </c>
      <c r="D1573" s="1">
        <v>1.0</v>
      </c>
      <c r="E1573" s="1" t="s">
        <v>614</v>
      </c>
      <c r="F1573" s="1">
        <v>686743.0</v>
      </c>
    </row>
    <row r="1574">
      <c r="A1574" s="1">
        <v>1573.0</v>
      </c>
      <c r="B1574" s="1" t="s">
        <v>627</v>
      </c>
      <c r="C1574" s="1" t="s">
        <v>1016</v>
      </c>
      <c r="D1574" s="1">
        <v>1.0</v>
      </c>
      <c r="E1574" s="1" t="s">
        <v>614</v>
      </c>
      <c r="F1574" s="1">
        <v>13356.0</v>
      </c>
    </row>
    <row r="1575">
      <c r="A1575" s="1">
        <v>1574.0</v>
      </c>
      <c r="B1575" s="1" t="s">
        <v>1144</v>
      </c>
      <c r="C1575" s="1" t="s">
        <v>1016</v>
      </c>
      <c r="D1575" s="1">
        <v>1.0</v>
      </c>
      <c r="E1575" s="1" t="s">
        <v>614</v>
      </c>
      <c r="F1575" s="1">
        <v>50905.0</v>
      </c>
    </row>
    <row r="1576">
      <c r="A1576" s="1">
        <v>1575.0</v>
      </c>
      <c r="B1576" s="1" t="s">
        <v>1145</v>
      </c>
      <c r="C1576" s="1" t="s">
        <v>1016</v>
      </c>
      <c r="D1576" s="1">
        <v>1.0</v>
      </c>
      <c r="E1576" s="1" t="s">
        <v>614</v>
      </c>
      <c r="F1576" s="1">
        <v>196999.0</v>
      </c>
    </row>
    <row r="1577">
      <c r="A1577" s="1">
        <v>1576.0</v>
      </c>
      <c r="B1577" s="1" t="s">
        <v>619</v>
      </c>
      <c r="C1577" s="1" t="s">
        <v>1016</v>
      </c>
      <c r="D1577" s="1">
        <v>1.0</v>
      </c>
      <c r="E1577" s="1" t="s">
        <v>614</v>
      </c>
      <c r="F1577" s="1">
        <v>634621.0</v>
      </c>
    </row>
    <row r="1578">
      <c r="A1578" s="1">
        <v>1577.0</v>
      </c>
      <c r="B1578" s="1" t="s">
        <v>1146</v>
      </c>
      <c r="C1578" s="1" t="s">
        <v>1016</v>
      </c>
      <c r="D1578" s="1">
        <v>1.0</v>
      </c>
      <c r="E1578" s="1" t="s">
        <v>614</v>
      </c>
      <c r="F1578" s="1">
        <v>241760.0</v>
      </c>
    </row>
    <row r="1579">
      <c r="A1579" s="1">
        <v>1578.0</v>
      </c>
      <c r="B1579" s="1" t="s">
        <v>1147</v>
      </c>
      <c r="C1579" s="1" t="s">
        <v>1016</v>
      </c>
      <c r="D1579" s="1">
        <v>1.0</v>
      </c>
      <c r="E1579" s="1" t="s">
        <v>614</v>
      </c>
      <c r="F1579" s="1">
        <v>12434.0</v>
      </c>
    </row>
    <row r="1580">
      <c r="A1580" s="1">
        <v>1579.0</v>
      </c>
      <c r="B1580" s="1" t="s">
        <v>1148</v>
      </c>
      <c r="C1580" s="1" t="s">
        <v>1016</v>
      </c>
      <c r="D1580" s="1">
        <v>1.0</v>
      </c>
      <c r="E1580" s="1" t="s">
        <v>614</v>
      </c>
      <c r="F1580" s="1">
        <v>600487.0</v>
      </c>
    </row>
    <row r="1581">
      <c r="A1581" s="1">
        <v>1580.0</v>
      </c>
      <c r="B1581" s="1" t="s">
        <v>1149</v>
      </c>
      <c r="C1581" s="1" t="s">
        <v>1016</v>
      </c>
      <c r="D1581" s="1">
        <v>1.0</v>
      </c>
      <c r="E1581" s="1" t="s">
        <v>614</v>
      </c>
      <c r="F1581" s="1">
        <v>11471.0</v>
      </c>
    </row>
    <row r="1582">
      <c r="A1582" s="1">
        <v>1581.0</v>
      </c>
      <c r="B1582" s="1" t="s">
        <v>1150</v>
      </c>
      <c r="C1582" s="1" t="s">
        <v>1016</v>
      </c>
      <c r="D1582" s="1">
        <v>1.0</v>
      </c>
      <c r="E1582" s="1" t="s">
        <v>614</v>
      </c>
      <c r="F1582" s="1">
        <v>656800.0</v>
      </c>
    </row>
    <row r="1583">
      <c r="A1583" s="1">
        <v>1582.0</v>
      </c>
      <c r="B1583" s="1" t="s">
        <v>1151</v>
      </c>
      <c r="C1583" s="1" t="s">
        <v>1016</v>
      </c>
      <c r="D1583" s="1">
        <v>1.0</v>
      </c>
      <c r="E1583" s="1" t="s">
        <v>614</v>
      </c>
      <c r="F1583" s="1">
        <v>50905.0</v>
      </c>
    </row>
    <row r="1584">
      <c r="A1584" s="1">
        <v>1583.0</v>
      </c>
      <c r="B1584" s="1" t="s">
        <v>1152</v>
      </c>
      <c r="C1584" s="1" t="s">
        <v>1016</v>
      </c>
      <c r="D1584" s="1">
        <v>1.0</v>
      </c>
      <c r="E1584" s="1" t="s">
        <v>614</v>
      </c>
      <c r="F1584" s="1">
        <v>65207.0</v>
      </c>
    </row>
    <row r="1585">
      <c r="A1585" s="1">
        <v>1584.0</v>
      </c>
      <c r="B1585" s="1" t="s">
        <v>1153</v>
      </c>
      <c r="C1585" s="1" t="s">
        <v>1016</v>
      </c>
      <c r="D1585" s="1">
        <v>1.0</v>
      </c>
      <c r="E1585" s="1" t="s">
        <v>614</v>
      </c>
      <c r="F1585" s="1">
        <v>563464.0</v>
      </c>
    </row>
    <row r="1586">
      <c r="A1586" s="1">
        <v>1585.0</v>
      </c>
      <c r="B1586" s="1" t="s">
        <v>1154</v>
      </c>
      <c r="C1586" s="1" t="s">
        <v>1016</v>
      </c>
      <c r="D1586" s="1">
        <v>1.0</v>
      </c>
      <c r="E1586" s="1" t="s">
        <v>614</v>
      </c>
      <c r="F1586" s="1">
        <v>82.0</v>
      </c>
    </row>
    <row r="1587">
      <c r="A1587" s="1">
        <v>1586.0</v>
      </c>
      <c r="B1587" s="1" t="s">
        <v>1155</v>
      </c>
      <c r="C1587" s="1" t="s">
        <v>1016</v>
      </c>
      <c r="D1587" s="1">
        <v>1.0</v>
      </c>
      <c r="E1587" s="1" t="s">
        <v>614</v>
      </c>
      <c r="F1587" s="1">
        <v>324419.0</v>
      </c>
    </row>
    <row r="1588">
      <c r="A1588" s="1">
        <v>1587.0</v>
      </c>
      <c r="B1588" s="1" t="s">
        <v>1156</v>
      </c>
      <c r="C1588" s="1" t="s">
        <v>1016</v>
      </c>
      <c r="D1588" s="1">
        <v>1.0</v>
      </c>
      <c r="E1588" s="1" t="s">
        <v>614</v>
      </c>
      <c r="F1588" s="1">
        <v>26191.0</v>
      </c>
    </row>
    <row r="1589">
      <c r="A1589" s="1">
        <v>1588.0</v>
      </c>
      <c r="B1589" s="1" t="s">
        <v>1157</v>
      </c>
      <c r="C1589" s="1" t="s">
        <v>1016</v>
      </c>
      <c r="D1589" s="1">
        <v>1.0</v>
      </c>
      <c r="E1589" s="1" t="s">
        <v>614</v>
      </c>
      <c r="F1589" s="1">
        <v>16438.0</v>
      </c>
    </row>
    <row r="1590">
      <c r="A1590" s="1">
        <v>1589.0</v>
      </c>
      <c r="B1590" s="1" t="s">
        <v>1158</v>
      </c>
      <c r="C1590" s="1" t="s">
        <v>1016</v>
      </c>
      <c r="D1590" s="1">
        <v>1.0</v>
      </c>
      <c r="E1590" s="1" t="s">
        <v>614</v>
      </c>
      <c r="F1590" s="1">
        <v>216827.0</v>
      </c>
    </row>
    <row r="1591">
      <c r="A1591" s="1">
        <v>1590.0</v>
      </c>
      <c r="B1591" s="1" t="s">
        <v>1159</v>
      </c>
      <c r="C1591" s="1" t="s">
        <v>1016</v>
      </c>
      <c r="D1591" s="1">
        <v>1.0</v>
      </c>
      <c r="E1591" s="1" t="s">
        <v>614</v>
      </c>
      <c r="F1591" s="1">
        <v>20965.0</v>
      </c>
    </row>
    <row r="1592">
      <c r="A1592" s="1">
        <v>1591.0</v>
      </c>
      <c r="B1592" s="1" t="s">
        <v>29</v>
      </c>
      <c r="C1592" s="1" t="s">
        <v>1016</v>
      </c>
      <c r="D1592" s="1">
        <v>29.0</v>
      </c>
      <c r="E1592" s="1" t="s">
        <v>789</v>
      </c>
      <c r="F1592" s="1">
        <v>624783.0</v>
      </c>
    </row>
    <row r="1593">
      <c r="A1593" s="1">
        <v>1592.0</v>
      </c>
      <c r="B1593" s="1" t="s">
        <v>11</v>
      </c>
      <c r="C1593" s="1" t="s">
        <v>1016</v>
      </c>
      <c r="D1593" s="1">
        <v>23.0</v>
      </c>
      <c r="E1593" s="1" t="s">
        <v>789</v>
      </c>
      <c r="F1593" s="1">
        <v>479366.0</v>
      </c>
    </row>
    <row r="1594">
      <c r="A1594" s="1">
        <v>1593.0</v>
      </c>
      <c r="B1594" s="1" t="s">
        <v>16</v>
      </c>
      <c r="C1594" s="1" t="s">
        <v>1016</v>
      </c>
      <c r="D1594" s="1">
        <v>22.0</v>
      </c>
      <c r="E1594" s="1" t="s">
        <v>789</v>
      </c>
      <c r="F1594" s="1">
        <v>527930.0</v>
      </c>
    </row>
    <row r="1595">
      <c r="A1595" s="1">
        <v>1594.0</v>
      </c>
      <c r="B1595" s="1" t="s">
        <v>870</v>
      </c>
      <c r="C1595" s="1" t="s">
        <v>1016</v>
      </c>
      <c r="D1595" s="1">
        <v>19.0</v>
      </c>
      <c r="E1595" s="1" t="s">
        <v>789</v>
      </c>
      <c r="F1595" s="1">
        <v>24791.0</v>
      </c>
    </row>
    <row r="1596">
      <c r="A1596" s="1">
        <v>1595.0</v>
      </c>
      <c r="B1596" s="1" t="s">
        <v>620</v>
      </c>
      <c r="C1596" s="1" t="s">
        <v>1016</v>
      </c>
      <c r="D1596" s="1">
        <v>18.0</v>
      </c>
      <c r="E1596" s="1" t="s">
        <v>789</v>
      </c>
      <c r="F1596" s="1">
        <v>400745.0</v>
      </c>
    </row>
    <row r="1597">
      <c r="A1597" s="1">
        <v>1596.0</v>
      </c>
      <c r="B1597" s="1" t="s">
        <v>12</v>
      </c>
      <c r="C1597" s="1" t="s">
        <v>1016</v>
      </c>
      <c r="D1597" s="1">
        <v>14.0</v>
      </c>
      <c r="E1597" s="1" t="s">
        <v>789</v>
      </c>
      <c r="F1597" s="1">
        <v>495265.0</v>
      </c>
    </row>
    <row r="1598">
      <c r="A1598" s="1">
        <v>1597.0</v>
      </c>
      <c r="B1598" s="1" t="s">
        <v>8</v>
      </c>
      <c r="C1598" s="1" t="s">
        <v>1016</v>
      </c>
      <c r="D1598" s="1">
        <v>12.0</v>
      </c>
      <c r="E1598" s="1" t="s">
        <v>789</v>
      </c>
      <c r="F1598" s="1">
        <v>513986.0</v>
      </c>
    </row>
    <row r="1599">
      <c r="A1599" s="1">
        <v>1598.0</v>
      </c>
      <c r="B1599" s="1" t="s">
        <v>581</v>
      </c>
      <c r="C1599" s="1" t="s">
        <v>1016</v>
      </c>
      <c r="D1599" s="1">
        <v>11.0</v>
      </c>
      <c r="E1599" s="1" t="s">
        <v>789</v>
      </c>
      <c r="F1599" s="1">
        <v>1532909.0</v>
      </c>
    </row>
    <row r="1600">
      <c r="A1600" s="1">
        <v>1599.0</v>
      </c>
      <c r="B1600" s="1" t="s">
        <v>1160</v>
      </c>
      <c r="C1600" s="1" t="s">
        <v>1016</v>
      </c>
      <c r="D1600" s="1">
        <v>9.0</v>
      </c>
      <c r="E1600" s="1" t="s">
        <v>789</v>
      </c>
      <c r="F1600" s="1">
        <v>29013.0</v>
      </c>
    </row>
    <row r="1601">
      <c r="A1601" s="1">
        <v>1600.0</v>
      </c>
      <c r="B1601" s="1" t="s">
        <v>794</v>
      </c>
      <c r="C1601" s="1" t="s">
        <v>1016</v>
      </c>
      <c r="D1601" s="1">
        <v>9.0</v>
      </c>
      <c r="E1601" s="1" t="s">
        <v>789</v>
      </c>
      <c r="F1601" s="1">
        <v>1273952.0</v>
      </c>
    </row>
    <row r="1602">
      <c r="A1602" s="1">
        <v>1601.0</v>
      </c>
      <c r="B1602" s="1" t="s">
        <v>14</v>
      </c>
      <c r="C1602" s="1" t="s">
        <v>1016</v>
      </c>
      <c r="D1602" s="1">
        <v>9.0</v>
      </c>
      <c r="E1602" s="1" t="s">
        <v>789</v>
      </c>
      <c r="F1602" s="1">
        <v>377686.0</v>
      </c>
    </row>
    <row r="1603">
      <c r="A1603" s="1">
        <v>1602.0</v>
      </c>
      <c r="B1603" s="1" t="s">
        <v>1161</v>
      </c>
      <c r="C1603" s="1" t="s">
        <v>1016</v>
      </c>
      <c r="D1603" s="1">
        <v>8.0</v>
      </c>
      <c r="E1603" s="1" t="s">
        <v>789</v>
      </c>
      <c r="F1603" s="1">
        <v>242324.0</v>
      </c>
    </row>
    <row r="1604">
      <c r="A1604" s="1">
        <v>1603.0</v>
      </c>
      <c r="B1604" s="1" t="s">
        <v>1084</v>
      </c>
      <c r="C1604" s="1" t="s">
        <v>1016</v>
      </c>
      <c r="D1604" s="1">
        <v>7.0</v>
      </c>
      <c r="E1604" s="1" t="s">
        <v>789</v>
      </c>
      <c r="F1604" s="1">
        <v>407376.0</v>
      </c>
    </row>
    <row r="1605">
      <c r="A1605" s="1">
        <v>1604.0</v>
      </c>
      <c r="B1605" s="1" t="s">
        <v>598</v>
      </c>
      <c r="C1605" s="1" t="s">
        <v>1016</v>
      </c>
      <c r="D1605" s="1">
        <v>7.0</v>
      </c>
      <c r="E1605" s="1" t="s">
        <v>789</v>
      </c>
      <c r="F1605" s="1">
        <v>564107.0</v>
      </c>
    </row>
    <row r="1606">
      <c r="A1606" s="1">
        <v>1605.0</v>
      </c>
      <c r="B1606" s="1" t="s">
        <v>840</v>
      </c>
      <c r="C1606" s="1" t="s">
        <v>1016</v>
      </c>
      <c r="D1606" s="1">
        <v>7.0</v>
      </c>
      <c r="E1606" s="1" t="s">
        <v>789</v>
      </c>
      <c r="F1606" s="1">
        <v>902901.0</v>
      </c>
    </row>
    <row r="1607">
      <c r="A1607" s="1">
        <v>1606.0</v>
      </c>
      <c r="B1607" s="1" t="s">
        <v>1162</v>
      </c>
      <c r="C1607" s="1" t="s">
        <v>1016</v>
      </c>
      <c r="D1607" s="1">
        <v>6.0</v>
      </c>
      <c r="E1607" s="1" t="s">
        <v>789</v>
      </c>
      <c r="F1607" s="1">
        <v>470717.0</v>
      </c>
    </row>
    <row r="1608">
      <c r="A1608" s="1">
        <v>1607.0</v>
      </c>
      <c r="B1608" s="1" t="s">
        <v>74</v>
      </c>
      <c r="C1608" s="1" t="s">
        <v>1016</v>
      </c>
      <c r="D1608" s="1">
        <v>6.0</v>
      </c>
      <c r="E1608" s="1" t="s">
        <v>789</v>
      </c>
      <c r="F1608" s="1">
        <v>1198941.0</v>
      </c>
    </row>
    <row r="1609">
      <c r="A1609" s="1">
        <v>1608.0</v>
      </c>
      <c r="B1609" s="1" t="s">
        <v>1163</v>
      </c>
      <c r="C1609" s="1" t="s">
        <v>1016</v>
      </c>
      <c r="D1609" s="1">
        <v>5.0</v>
      </c>
      <c r="E1609" s="1" t="s">
        <v>789</v>
      </c>
      <c r="F1609" s="1">
        <v>15500.0</v>
      </c>
    </row>
    <row r="1610">
      <c r="A1610" s="1">
        <v>1609.0</v>
      </c>
      <c r="B1610" s="1" t="s">
        <v>1164</v>
      </c>
      <c r="C1610" s="1" t="s">
        <v>1016</v>
      </c>
      <c r="D1610" s="1">
        <v>5.0</v>
      </c>
      <c r="E1610" s="1" t="s">
        <v>789</v>
      </c>
      <c r="F1610" s="1">
        <v>388898.0</v>
      </c>
    </row>
    <row r="1611">
      <c r="A1611" s="1">
        <v>1610.0</v>
      </c>
      <c r="B1611" s="1" t="s">
        <v>793</v>
      </c>
      <c r="C1611" s="1" t="s">
        <v>1016</v>
      </c>
      <c r="D1611" s="1">
        <v>5.0</v>
      </c>
      <c r="E1611" s="1" t="s">
        <v>789</v>
      </c>
      <c r="F1611" s="1">
        <v>976617.0</v>
      </c>
    </row>
    <row r="1612">
      <c r="A1612" s="1">
        <v>1611.0</v>
      </c>
      <c r="B1612" s="1" t="s">
        <v>1165</v>
      </c>
      <c r="C1612" s="1" t="s">
        <v>1016</v>
      </c>
      <c r="D1612" s="1">
        <v>5.0</v>
      </c>
      <c r="E1612" s="1" t="s">
        <v>789</v>
      </c>
      <c r="F1612" s="1">
        <v>30897.0</v>
      </c>
    </row>
    <row r="1613">
      <c r="A1613" s="1">
        <v>1612.0</v>
      </c>
      <c r="B1613" s="1" t="s">
        <v>1166</v>
      </c>
      <c r="C1613" s="1" t="s">
        <v>1016</v>
      </c>
      <c r="D1613" s="1">
        <v>5.0</v>
      </c>
      <c r="E1613" s="1" t="s">
        <v>789</v>
      </c>
      <c r="F1613" s="1">
        <v>27511.0</v>
      </c>
    </row>
    <row r="1614">
      <c r="A1614" s="1">
        <v>1613.0</v>
      </c>
      <c r="B1614" s="1" t="s">
        <v>1167</v>
      </c>
      <c r="C1614" s="1" t="s">
        <v>1016</v>
      </c>
      <c r="D1614" s="1">
        <v>5.0</v>
      </c>
      <c r="E1614" s="1" t="s">
        <v>789</v>
      </c>
      <c r="F1614" s="1">
        <v>82.0</v>
      </c>
    </row>
    <row r="1615">
      <c r="A1615" s="1">
        <v>1614.0</v>
      </c>
      <c r="B1615" s="1" t="s">
        <v>635</v>
      </c>
      <c r="C1615" s="1" t="s">
        <v>1016</v>
      </c>
      <c r="D1615" s="1">
        <v>4.0</v>
      </c>
      <c r="E1615" s="1" t="s">
        <v>789</v>
      </c>
      <c r="F1615" s="1">
        <v>640566.0</v>
      </c>
    </row>
    <row r="1616">
      <c r="A1616" s="1">
        <v>1615.0</v>
      </c>
      <c r="B1616" s="1" t="s">
        <v>47</v>
      </c>
      <c r="C1616" s="1" t="s">
        <v>1016</v>
      </c>
      <c r="D1616" s="1">
        <v>4.0</v>
      </c>
      <c r="E1616" s="1" t="s">
        <v>789</v>
      </c>
      <c r="F1616" s="1">
        <v>1139417.0</v>
      </c>
    </row>
    <row r="1617">
      <c r="A1617" s="1">
        <v>1616.0</v>
      </c>
      <c r="B1617" s="1" t="s">
        <v>839</v>
      </c>
      <c r="C1617" s="1" t="s">
        <v>1016</v>
      </c>
      <c r="D1617" s="1">
        <v>4.0</v>
      </c>
      <c r="E1617" s="1" t="s">
        <v>789</v>
      </c>
      <c r="F1617" s="1">
        <v>658529.0</v>
      </c>
    </row>
    <row r="1618">
      <c r="A1618" s="1">
        <v>1617.0</v>
      </c>
      <c r="B1618" s="1" t="s">
        <v>1027</v>
      </c>
      <c r="C1618" s="1" t="s">
        <v>1016</v>
      </c>
      <c r="D1618" s="1">
        <v>4.0</v>
      </c>
      <c r="E1618" s="1" t="s">
        <v>789</v>
      </c>
      <c r="F1618" s="1">
        <v>681356.0</v>
      </c>
    </row>
    <row r="1619">
      <c r="A1619" s="1">
        <v>1618.0</v>
      </c>
      <c r="B1619" s="1" t="s">
        <v>841</v>
      </c>
      <c r="C1619" s="1" t="s">
        <v>1016</v>
      </c>
      <c r="D1619" s="1">
        <v>4.0</v>
      </c>
      <c r="E1619" s="1" t="s">
        <v>789</v>
      </c>
      <c r="F1619" s="1">
        <v>662645.0</v>
      </c>
    </row>
    <row r="1620">
      <c r="A1620" s="1">
        <v>1619.0</v>
      </c>
      <c r="B1620" s="1" t="s">
        <v>795</v>
      </c>
      <c r="C1620" s="1" t="s">
        <v>1016</v>
      </c>
      <c r="D1620" s="1">
        <v>4.0</v>
      </c>
      <c r="E1620" s="1" t="s">
        <v>789</v>
      </c>
      <c r="F1620" s="1">
        <v>914961.0</v>
      </c>
    </row>
    <row r="1621">
      <c r="A1621" s="1">
        <v>1620.0</v>
      </c>
      <c r="B1621" s="1" t="s">
        <v>33</v>
      </c>
      <c r="C1621" s="1" t="s">
        <v>1016</v>
      </c>
      <c r="D1621" s="1">
        <v>4.0</v>
      </c>
      <c r="E1621" s="1" t="s">
        <v>789</v>
      </c>
      <c r="F1621" s="1">
        <v>30049.0</v>
      </c>
    </row>
    <row r="1622">
      <c r="A1622" s="1">
        <v>1621.0</v>
      </c>
      <c r="B1622" s="1" t="s">
        <v>1168</v>
      </c>
      <c r="C1622" s="1" t="s">
        <v>1016</v>
      </c>
      <c r="D1622" s="1">
        <v>4.0</v>
      </c>
      <c r="E1622" s="1" t="s">
        <v>789</v>
      </c>
      <c r="F1622" s="1">
        <v>33627.0</v>
      </c>
    </row>
    <row r="1623">
      <c r="A1623" s="1">
        <v>1622.0</v>
      </c>
      <c r="B1623" s="1" t="s">
        <v>1169</v>
      </c>
      <c r="C1623" s="1" t="s">
        <v>1016</v>
      </c>
      <c r="D1623" s="1">
        <v>4.0</v>
      </c>
      <c r="E1623" s="1" t="s">
        <v>789</v>
      </c>
      <c r="F1623" s="1">
        <v>1205626.0</v>
      </c>
    </row>
    <row r="1624">
      <c r="A1624" s="1">
        <v>1623.0</v>
      </c>
      <c r="B1624" s="1" t="s">
        <v>567</v>
      </c>
      <c r="C1624" s="1" t="s">
        <v>1016</v>
      </c>
      <c r="D1624" s="1">
        <v>4.0</v>
      </c>
      <c r="E1624" s="1" t="s">
        <v>789</v>
      </c>
      <c r="F1624" s="1">
        <v>452137.0</v>
      </c>
    </row>
    <row r="1625">
      <c r="A1625" s="1">
        <v>1624.0</v>
      </c>
      <c r="B1625" s="1" t="s">
        <v>1170</v>
      </c>
      <c r="C1625" s="1" t="s">
        <v>1016</v>
      </c>
      <c r="D1625" s="1">
        <v>3.0</v>
      </c>
      <c r="E1625" s="1" t="s">
        <v>789</v>
      </c>
      <c r="F1625" s="1">
        <v>8866.0</v>
      </c>
    </row>
    <row r="1626">
      <c r="A1626" s="1">
        <v>1625.0</v>
      </c>
      <c r="B1626" s="1" t="s">
        <v>1171</v>
      </c>
      <c r="C1626" s="1" t="s">
        <v>1016</v>
      </c>
      <c r="D1626" s="1">
        <v>3.0</v>
      </c>
      <c r="E1626" s="1" t="s">
        <v>789</v>
      </c>
      <c r="F1626" s="1">
        <v>366514.0</v>
      </c>
    </row>
    <row r="1627">
      <c r="A1627" s="1">
        <v>1626.0</v>
      </c>
      <c r="B1627" s="1" t="s">
        <v>1172</v>
      </c>
      <c r="C1627" s="1" t="s">
        <v>1016</v>
      </c>
      <c r="D1627" s="1">
        <v>3.0</v>
      </c>
      <c r="E1627" s="1" t="s">
        <v>789</v>
      </c>
      <c r="F1627" s="1">
        <v>437781.0</v>
      </c>
    </row>
    <row r="1628">
      <c r="A1628" s="1">
        <v>1627.0</v>
      </c>
      <c r="B1628" s="1" t="s">
        <v>1173</v>
      </c>
      <c r="C1628" s="1" t="s">
        <v>1016</v>
      </c>
      <c r="D1628" s="1">
        <v>3.0</v>
      </c>
      <c r="E1628" s="1" t="s">
        <v>789</v>
      </c>
      <c r="F1628" s="1">
        <v>711350.0</v>
      </c>
    </row>
    <row r="1629">
      <c r="A1629" s="1">
        <v>1628.0</v>
      </c>
      <c r="B1629" s="1" t="s">
        <v>1174</v>
      </c>
      <c r="C1629" s="1" t="s">
        <v>1016</v>
      </c>
      <c r="D1629" s="1">
        <v>3.0</v>
      </c>
      <c r="E1629" s="1" t="s">
        <v>789</v>
      </c>
      <c r="F1629" s="1">
        <v>1072842.0</v>
      </c>
    </row>
    <row r="1630">
      <c r="A1630" s="1">
        <v>1629.0</v>
      </c>
      <c r="B1630" s="1" t="s">
        <v>1175</v>
      </c>
      <c r="C1630" s="1" t="s">
        <v>1016</v>
      </c>
      <c r="D1630" s="1">
        <v>3.0</v>
      </c>
      <c r="E1630" s="1" t="s">
        <v>789</v>
      </c>
      <c r="F1630" s="1">
        <v>69.0</v>
      </c>
    </row>
    <row r="1631">
      <c r="A1631" s="1">
        <v>1630.0</v>
      </c>
      <c r="B1631" s="1" t="s">
        <v>1176</v>
      </c>
      <c r="C1631" s="1" t="s">
        <v>1016</v>
      </c>
      <c r="D1631" s="1">
        <v>3.0</v>
      </c>
      <c r="E1631" s="1" t="s">
        <v>789</v>
      </c>
      <c r="F1631" s="1">
        <v>735354.0</v>
      </c>
    </row>
    <row r="1632">
      <c r="A1632" s="1">
        <v>1631.0</v>
      </c>
      <c r="B1632" s="1" t="s">
        <v>1177</v>
      </c>
      <c r="C1632" s="1" t="s">
        <v>1016</v>
      </c>
      <c r="D1632" s="1">
        <v>3.0</v>
      </c>
      <c r="E1632" s="1" t="s">
        <v>789</v>
      </c>
      <c r="F1632" s="1">
        <v>743209.0</v>
      </c>
    </row>
    <row r="1633">
      <c r="A1633" s="1">
        <v>1632.0</v>
      </c>
      <c r="B1633" s="1" t="s">
        <v>898</v>
      </c>
      <c r="C1633" s="1" t="s">
        <v>1016</v>
      </c>
      <c r="D1633" s="1">
        <v>3.0</v>
      </c>
      <c r="E1633" s="1" t="s">
        <v>789</v>
      </c>
      <c r="F1633" s="1">
        <v>509802.0</v>
      </c>
    </row>
    <row r="1634">
      <c r="A1634" s="1">
        <v>1633.0</v>
      </c>
      <c r="B1634" s="1" t="s">
        <v>1178</v>
      </c>
      <c r="C1634" s="1" t="s">
        <v>1016</v>
      </c>
      <c r="D1634" s="1">
        <v>3.0</v>
      </c>
      <c r="E1634" s="1" t="s">
        <v>789</v>
      </c>
      <c r="F1634" s="1">
        <v>588637.0</v>
      </c>
    </row>
    <row r="1635">
      <c r="A1635" s="1">
        <v>1634.0</v>
      </c>
      <c r="B1635" s="1" t="s">
        <v>1179</v>
      </c>
      <c r="C1635" s="1" t="s">
        <v>1016</v>
      </c>
      <c r="D1635" s="1">
        <v>2.0</v>
      </c>
      <c r="E1635" s="1" t="s">
        <v>789</v>
      </c>
      <c r="F1635" s="1">
        <v>71465.0</v>
      </c>
    </row>
    <row r="1636">
      <c r="A1636" s="1">
        <v>1635.0</v>
      </c>
      <c r="B1636" s="1" t="s">
        <v>1091</v>
      </c>
      <c r="C1636" s="1" t="s">
        <v>1016</v>
      </c>
      <c r="D1636" s="1">
        <v>2.0</v>
      </c>
      <c r="E1636" s="1" t="s">
        <v>789</v>
      </c>
      <c r="F1636" s="1">
        <v>443020.0</v>
      </c>
    </row>
    <row r="1637">
      <c r="A1637" s="1">
        <v>1636.0</v>
      </c>
      <c r="B1637" s="1" t="s">
        <v>1135</v>
      </c>
      <c r="C1637" s="1" t="s">
        <v>1016</v>
      </c>
      <c r="D1637" s="1">
        <v>2.0</v>
      </c>
      <c r="E1637" s="1" t="s">
        <v>789</v>
      </c>
      <c r="F1637" s="1">
        <v>311470.0</v>
      </c>
    </row>
    <row r="1638">
      <c r="A1638" s="1">
        <v>1637.0</v>
      </c>
      <c r="B1638" s="1" t="s">
        <v>1180</v>
      </c>
      <c r="C1638" s="1" t="s">
        <v>1016</v>
      </c>
      <c r="D1638" s="1">
        <v>2.0</v>
      </c>
      <c r="E1638" s="1" t="s">
        <v>789</v>
      </c>
      <c r="F1638" s="1">
        <v>41922.0</v>
      </c>
    </row>
    <row r="1639">
      <c r="A1639" s="1">
        <v>1638.0</v>
      </c>
      <c r="B1639" s="1" t="s">
        <v>1181</v>
      </c>
      <c r="C1639" s="1" t="s">
        <v>1016</v>
      </c>
      <c r="D1639" s="1">
        <v>2.0</v>
      </c>
      <c r="E1639" s="1" t="s">
        <v>789</v>
      </c>
      <c r="F1639" s="1">
        <v>430475.0</v>
      </c>
    </row>
    <row r="1640">
      <c r="A1640" s="1">
        <v>1639.0</v>
      </c>
      <c r="B1640" s="1" t="s">
        <v>1182</v>
      </c>
      <c r="C1640" s="1" t="s">
        <v>1016</v>
      </c>
      <c r="D1640" s="1">
        <v>2.0</v>
      </c>
      <c r="E1640" s="1" t="s">
        <v>789</v>
      </c>
      <c r="F1640" s="1">
        <v>1123734.0</v>
      </c>
    </row>
    <row r="1641">
      <c r="A1641" s="1">
        <v>1640.0</v>
      </c>
      <c r="B1641" s="1" t="s">
        <v>845</v>
      </c>
      <c r="C1641" s="1" t="s">
        <v>1016</v>
      </c>
      <c r="D1641" s="1">
        <v>2.0</v>
      </c>
      <c r="E1641" s="1" t="s">
        <v>789</v>
      </c>
      <c r="F1641" s="1">
        <v>616488.0</v>
      </c>
    </row>
    <row r="1642">
      <c r="A1642" s="1">
        <v>1641.0</v>
      </c>
      <c r="B1642" s="1" t="s">
        <v>44</v>
      </c>
      <c r="C1642" s="1" t="s">
        <v>1016</v>
      </c>
      <c r="D1642" s="1">
        <v>2.0</v>
      </c>
      <c r="E1642" s="1" t="s">
        <v>789</v>
      </c>
      <c r="F1642" s="1">
        <v>186983.0</v>
      </c>
    </row>
    <row r="1643">
      <c r="A1643" s="1">
        <v>1642.0</v>
      </c>
      <c r="B1643" s="1" t="s">
        <v>1183</v>
      </c>
      <c r="C1643" s="1" t="s">
        <v>1016</v>
      </c>
      <c r="D1643" s="1">
        <v>2.0</v>
      </c>
      <c r="E1643" s="1" t="s">
        <v>789</v>
      </c>
      <c r="F1643" s="1">
        <v>458425.0</v>
      </c>
    </row>
    <row r="1644">
      <c r="A1644" s="1">
        <v>1643.0</v>
      </c>
      <c r="B1644" s="1" t="s">
        <v>1184</v>
      </c>
      <c r="C1644" s="1" t="s">
        <v>1016</v>
      </c>
      <c r="D1644" s="1">
        <v>2.0</v>
      </c>
      <c r="E1644" s="1" t="s">
        <v>789</v>
      </c>
      <c r="F1644" s="1">
        <v>180440.0</v>
      </c>
    </row>
    <row r="1645">
      <c r="A1645" s="1">
        <v>1644.0</v>
      </c>
      <c r="B1645" s="1" t="s">
        <v>1185</v>
      </c>
      <c r="C1645" s="1" t="s">
        <v>1016</v>
      </c>
      <c r="D1645" s="1">
        <v>2.0</v>
      </c>
      <c r="E1645" s="1" t="s">
        <v>789</v>
      </c>
      <c r="F1645" s="1">
        <v>861090.0</v>
      </c>
    </row>
    <row r="1646">
      <c r="A1646" s="1">
        <v>1645.0</v>
      </c>
      <c r="B1646" s="1" t="s">
        <v>469</v>
      </c>
      <c r="C1646" s="1" t="s">
        <v>1016</v>
      </c>
      <c r="D1646" s="1">
        <v>2.0</v>
      </c>
      <c r="E1646" s="1" t="s">
        <v>789</v>
      </c>
      <c r="F1646" s="1">
        <v>83197.0</v>
      </c>
    </row>
    <row r="1647">
      <c r="A1647" s="1">
        <v>1646.0</v>
      </c>
      <c r="B1647" s="1" t="s">
        <v>1186</v>
      </c>
      <c r="C1647" s="1" t="s">
        <v>1016</v>
      </c>
      <c r="D1647" s="1">
        <v>2.0</v>
      </c>
      <c r="E1647" s="1" t="s">
        <v>789</v>
      </c>
      <c r="F1647" s="1">
        <v>625884.0</v>
      </c>
    </row>
    <row r="1648">
      <c r="A1648" s="1">
        <v>1647.0</v>
      </c>
      <c r="B1648" s="1" t="s">
        <v>850</v>
      </c>
      <c r="C1648" s="1" t="s">
        <v>1016</v>
      </c>
      <c r="D1648" s="1">
        <v>2.0</v>
      </c>
      <c r="E1648" s="1" t="s">
        <v>789</v>
      </c>
      <c r="F1648" s="1">
        <v>43295.0</v>
      </c>
    </row>
    <row r="1649">
      <c r="A1649" s="1">
        <v>1648.0</v>
      </c>
      <c r="B1649" s="1" t="s">
        <v>1063</v>
      </c>
      <c r="C1649" s="1" t="s">
        <v>1016</v>
      </c>
      <c r="D1649" s="1">
        <v>2.0</v>
      </c>
      <c r="E1649" s="1" t="s">
        <v>789</v>
      </c>
      <c r="F1649" s="1">
        <v>1263.0</v>
      </c>
    </row>
    <row r="1650">
      <c r="A1650" s="1">
        <v>1649.0</v>
      </c>
      <c r="B1650" s="1" t="s">
        <v>801</v>
      </c>
      <c r="C1650" s="1" t="s">
        <v>1016</v>
      </c>
      <c r="D1650" s="1">
        <v>2.0</v>
      </c>
      <c r="E1650" s="1" t="s">
        <v>789</v>
      </c>
      <c r="F1650" s="1">
        <v>136137.0</v>
      </c>
    </row>
    <row r="1651">
      <c r="A1651" s="1">
        <v>1650.0</v>
      </c>
      <c r="B1651" s="1" t="s">
        <v>1018</v>
      </c>
      <c r="C1651" s="1" t="s">
        <v>1016</v>
      </c>
      <c r="D1651" s="1">
        <v>2.0</v>
      </c>
      <c r="E1651" s="1" t="s">
        <v>789</v>
      </c>
      <c r="F1651" s="1">
        <v>633866.0</v>
      </c>
    </row>
    <row r="1652">
      <c r="A1652" s="1">
        <v>1651.0</v>
      </c>
      <c r="B1652" s="1" t="s">
        <v>139</v>
      </c>
      <c r="C1652" s="1" t="s">
        <v>1016</v>
      </c>
      <c r="D1652" s="1">
        <v>2.0</v>
      </c>
      <c r="E1652" s="1" t="s">
        <v>789</v>
      </c>
      <c r="F1652" s="1">
        <v>900229.0</v>
      </c>
    </row>
    <row r="1653">
      <c r="A1653" s="1">
        <v>1652.0</v>
      </c>
      <c r="B1653" s="1" t="s">
        <v>988</v>
      </c>
      <c r="C1653" s="1" t="s">
        <v>1016</v>
      </c>
      <c r="D1653" s="1">
        <v>2.0</v>
      </c>
      <c r="E1653" s="1" t="s">
        <v>789</v>
      </c>
      <c r="F1653" s="1">
        <v>28221.0</v>
      </c>
    </row>
    <row r="1654">
      <c r="A1654" s="1">
        <v>1653.0</v>
      </c>
      <c r="B1654" s="1" t="s">
        <v>1187</v>
      </c>
      <c r="C1654" s="1" t="s">
        <v>1016</v>
      </c>
      <c r="D1654" s="1">
        <v>2.0</v>
      </c>
      <c r="E1654" s="1" t="s">
        <v>789</v>
      </c>
      <c r="F1654" s="1">
        <v>23876.0</v>
      </c>
    </row>
    <row r="1655">
      <c r="A1655" s="1">
        <v>1654.0</v>
      </c>
      <c r="B1655" s="1" t="s">
        <v>1188</v>
      </c>
      <c r="C1655" s="1" t="s">
        <v>1016</v>
      </c>
      <c r="D1655" s="1">
        <v>2.0</v>
      </c>
      <c r="E1655" s="1" t="s">
        <v>789</v>
      </c>
      <c r="F1655" s="1">
        <v>9434.0</v>
      </c>
    </row>
    <row r="1656">
      <c r="A1656" s="1">
        <v>1655.0</v>
      </c>
      <c r="B1656" s="1" t="s">
        <v>1189</v>
      </c>
      <c r="C1656" s="1" t="s">
        <v>1016</v>
      </c>
      <c r="D1656" s="1">
        <v>2.0</v>
      </c>
      <c r="E1656" s="1" t="s">
        <v>789</v>
      </c>
      <c r="F1656" s="1">
        <v>23663.0</v>
      </c>
    </row>
    <row r="1657">
      <c r="A1657" s="1">
        <v>1656.0</v>
      </c>
      <c r="B1657" s="1" t="s">
        <v>804</v>
      </c>
      <c r="C1657" s="1" t="s">
        <v>1016</v>
      </c>
      <c r="D1657" s="1">
        <v>2.0</v>
      </c>
      <c r="E1657" s="1" t="s">
        <v>789</v>
      </c>
      <c r="F1657" s="1">
        <v>188777.0</v>
      </c>
    </row>
    <row r="1658">
      <c r="A1658" s="1">
        <v>1657.0</v>
      </c>
      <c r="B1658" s="1" t="s">
        <v>59</v>
      </c>
      <c r="C1658" s="1" t="s">
        <v>1016</v>
      </c>
      <c r="D1658" s="1">
        <v>2.0</v>
      </c>
      <c r="E1658" s="1" t="s">
        <v>789</v>
      </c>
      <c r="F1658" s="1">
        <v>28103.0</v>
      </c>
    </row>
    <row r="1659">
      <c r="A1659" s="1">
        <v>1658.0</v>
      </c>
      <c r="B1659" s="1" t="s">
        <v>1190</v>
      </c>
      <c r="C1659" s="1" t="s">
        <v>1016</v>
      </c>
      <c r="D1659" s="1">
        <v>2.0</v>
      </c>
      <c r="E1659" s="1" t="s">
        <v>789</v>
      </c>
      <c r="F1659" s="1">
        <v>375807.0</v>
      </c>
    </row>
    <row r="1660">
      <c r="A1660" s="1">
        <v>1659.0</v>
      </c>
      <c r="B1660" s="1" t="s">
        <v>1191</v>
      </c>
      <c r="C1660" s="1" t="s">
        <v>1016</v>
      </c>
      <c r="D1660" s="1">
        <v>2.0</v>
      </c>
      <c r="E1660" s="1" t="s">
        <v>789</v>
      </c>
      <c r="F1660" s="1">
        <v>8.0</v>
      </c>
    </row>
    <row r="1661">
      <c r="A1661" s="1">
        <v>1660.0</v>
      </c>
      <c r="B1661" s="1" t="s">
        <v>1192</v>
      </c>
      <c r="C1661" s="1" t="s">
        <v>1016</v>
      </c>
      <c r="D1661" s="1">
        <v>2.0</v>
      </c>
      <c r="E1661" s="1" t="s">
        <v>789</v>
      </c>
      <c r="F1661" s="1">
        <v>17496.0</v>
      </c>
    </row>
    <row r="1662">
      <c r="A1662" s="1">
        <v>1661.0</v>
      </c>
      <c r="B1662" s="1" t="s">
        <v>530</v>
      </c>
      <c r="C1662" s="1" t="s">
        <v>1016</v>
      </c>
      <c r="D1662" s="1">
        <v>2.0</v>
      </c>
      <c r="E1662" s="1" t="s">
        <v>789</v>
      </c>
      <c r="F1662" s="1">
        <v>23871.0</v>
      </c>
    </row>
    <row r="1663">
      <c r="A1663" s="1">
        <v>1662.0</v>
      </c>
      <c r="B1663" s="1" t="s">
        <v>173</v>
      </c>
      <c r="C1663" s="1" t="s">
        <v>1016</v>
      </c>
      <c r="D1663" s="1">
        <v>2.0</v>
      </c>
      <c r="E1663" s="1" t="s">
        <v>789</v>
      </c>
      <c r="F1663" s="1">
        <v>61083.0</v>
      </c>
    </row>
    <row r="1664">
      <c r="A1664" s="1">
        <v>1663.0</v>
      </c>
      <c r="B1664" s="1" t="s">
        <v>1193</v>
      </c>
      <c r="C1664" s="1" t="s">
        <v>1016</v>
      </c>
      <c r="D1664" s="1">
        <v>2.0</v>
      </c>
      <c r="E1664" s="1" t="s">
        <v>789</v>
      </c>
      <c r="F1664" s="1">
        <v>73055.0</v>
      </c>
    </row>
    <row r="1665">
      <c r="A1665" s="1">
        <v>1664.0</v>
      </c>
      <c r="B1665" s="1" t="s">
        <v>1194</v>
      </c>
      <c r="C1665" s="1" t="s">
        <v>1016</v>
      </c>
      <c r="D1665" s="1">
        <v>2.0</v>
      </c>
      <c r="E1665" s="1" t="s">
        <v>789</v>
      </c>
      <c r="F1665" s="1">
        <v>51646.0</v>
      </c>
    </row>
    <row r="1666">
      <c r="A1666" s="1">
        <v>1665.0</v>
      </c>
      <c r="B1666" s="1" t="s">
        <v>176</v>
      </c>
      <c r="C1666" s="1" t="s">
        <v>1016</v>
      </c>
      <c r="D1666" s="1">
        <v>2.0</v>
      </c>
      <c r="E1666" s="1" t="s">
        <v>789</v>
      </c>
      <c r="F1666" s="1">
        <v>235128.0</v>
      </c>
    </row>
    <row r="1667">
      <c r="A1667" s="1">
        <v>1666.0</v>
      </c>
      <c r="B1667" s="1" t="s">
        <v>807</v>
      </c>
      <c r="C1667" s="1" t="s">
        <v>1016</v>
      </c>
      <c r="D1667" s="1">
        <v>2.0</v>
      </c>
      <c r="E1667" s="1" t="s">
        <v>789</v>
      </c>
      <c r="F1667" s="1">
        <v>1138712.0</v>
      </c>
    </row>
    <row r="1668">
      <c r="A1668" s="1">
        <v>1667.0</v>
      </c>
      <c r="B1668" s="1" t="s">
        <v>1195</v>
      </c>
      <c r="C1668" s="1" t="s">
        <v>1016</v>
      </c>
      <c r="D1668" s="1">
        <v>1.0</v>
      </c>
      <c r="E1668" s="1" t="s">
        <v>789</v>
      </c>
      <c r="F1668" s="1">
        <v>508113.0</v>
      </c>
    </row>
    <row r="1669">
      <c r="A1669" s="1">
        <v>1668.0</v>
      </c>
      <c r="B1669" s="1" t="s">
        <v>1196</v>
      </c>
      <c r="C1669" s="1" t="s">
        <v>1016</v>
      </c>
      <c r="D1669" s="1">
        <v>1.0</v>
      </c>
      <c r="E1669" s="1" t="s">
        <v>789</v>
      </c>
      <c r="F1669" s="1">
        <v>245265.0</v>
      </c>
    </row>
    <row r="1670">
      <c r="A1670" s="1">
        <v>1669.0</v>
      </c>
      <c r="B1670" s="1" t="s">
        <v>1197</v>
      </c>
      <c r="C1670" s="1" t="s">
        <v>1016</v>
      </c>
      <c r="D1670" s="1">
        <v>1.0</v>
      </c>
      <c r="E1670" s="1" t="s">
        <v>789</v>
      </c>
      <c r="F1670" s="1">
        <v>72.0</v>
      </c>
    </row>
    <row r="1671">
      <c r="A1671" s="1">
        <v>1670.0</v>
      </c>
      <c r="B1671" s="1" t="s">
        <v>1198</v>
      </c>
      <c r="C1671" s="1" t="s">
        <v>1016</v>
      </c>
      <c r="D1671" s="1">
        <v>1.0</v>
      </c>
      <c r="E1671" s="1" t="s">
        <v>789</v>
      </c>
      <c r="F1671" s="1">
        <v>186475.0</v>
      </c>
    </row>
    <row r="1672">
      <c r="A1672" s="1">
        <v>1671.0</v>
      </c>
      <c r="B1672" s="1" t="s">
        <v>1199</v>
      </c>
      <c r="C1672" s="1" t="s">
        <v>1016</v>
      </c>
      <c r="D1672" s="1">
        <v>1.0</v>
      </c>
      <c r="E1672" s="1" t="s">
        <v>789</v>
      </c>
      <c r="F1672" s="1">
        <v>35460.0</v>
      </c>
    </row>
    <row r="1673">
      <c r="A1673" s="1">
        <v>1672.0</v>
      </c>
      <c r="B1673" s="1" t="s">
        <v>1200</v>
      </c>
      <c r="C1673" s="1" t="s">
        <v>1016</v>
      </c>
      <c r="D1673" s="1">
        <v>1.0</v>
      </c>
      <c r="E1673" s="1" t="s">
        <v>789</v>
      </c>
      <c r="F1673" s="1">
        <v>237117.0</v>
      </c>
    </row>
    <row r="1674">
      <c r="A1674" s="1">
        <v>1673.0</v>
      </c>
      <c r="B1674" s="1" t="s">
        <v>806</v>
      </c>
      <c r="C1674" s="1" t="s">
        <v>1016</v>
      </c>
      <c r="D1674" s="1">
        <v>1.0</v>
      </c>
      <c r="E1674" s="1" t="s">
        <v>789</v>
      </c>
      <c r="F1674" s="1">
        <v>28000.0</v>
      </c>
    </row>
    <row r="1675">
      <c r="A1675" s="1">
        <v>1674.0</v>
      </c>
      <c r="B1675" s="1" t="s">
        <v>1201</v>
      </c>
      <c r="C1675" s="1" t="s">
        <v>1016</v>
      </c>
      <c r="D1675" s="1">
        <v>1.0</v>
      </c>
      <c r="E1675" s="1" t="s">
        <v>789</v>
      </c>
      <c r="F1675" s="1">
        <v>367898.0</v>
      </c>
    </row>
    <row r="1676">
      <c r="A1676" s="1">
        <v>1675.0</v>
      </c>
      <c r="B1676" s="1" t="s">
        <v>1202</v>
      </c>
      <c r="C1676" s="1" t="s">
        <v>1016</v>
      </c>
      <c r="D1676" s="1">
        <v>1.0</v>
      </c>
      <c r="E1676" s="1" t="s">
        <v>789</v>
      </c>
      <c r="F1676" s="1">
        <v>1262223.0</v>
      </c>
    </row>
    <row r="1677">
      <c r="A1677" s="1">
        <v>1676.0</v>
      </c>
      <c r="B1677" s="1" t="s">
        <v>116</v>
      </c>
      <c r="C1677" s="1" t="s">
        <v>1016</v>
      </c>
      <c r="D1677" s="1">
        <v>1.0</v>
      </c>
      <c r="E1677" s="1" t="s">
        <v>789</v>
      </c>
      <c r="F1677" s="1">
        <v>20234.0</v>
      </c>
    </row>
    <row r="1678">
      <c r="A1678" s="1">
        <v>1677.0</v>
      </c>
      <c r="B1678" s="1" t="s">
        <v>469</v>
      </c>
      <c r="C1678" s="1" t="s">
        <v>1016</v>
      </c>
      <c r="D1678" s="1">
        <v>1.0</v>
      </c>
      <c r="E1678" s="1" t="s">
        <v>789</v>
      </c>
      <c r="F1678" s="1">
        <v>35.0</v>
      </c>
    </row>
    <row r="1679">
      <c r="A1679" s="1">
        <v>1678.0</v>
      </c>
      <c r="B1679" s="1" t="s">
        <v>48</v>
      </c>
      <c r="C1679" s="1" t="s">
        <v>1016</v>
      </c>
      <c r="D1679" s="1">
        <v>1.0</v>
      </c>
      <c r="E1679" s="1" t="s">
        <v>789</v>
      </c>
      <c r="F1679" s="1">
        <v>182.0</v>
      </c>
    </row>
    <row r="1680">
      <c r="A1680" s="1">
        <v>1679.0</v>
      </c>
      <c r="B1680" s="1" t="s">
        <v>1203</v>
      </c>
      <c r="C1680" s="1" t="s">
        <v>1016</v>
      </c>
      <c r="D1680" s="1">
        <v>1.0</v>
      </c>
      <c r="E1680" s="1" t="s">
        <v>789</v>
      </c>
      <c r="F1680" s="1">
        <v>39072.0</v>
      </c>
    </row>
    <row r="1681">
      <c r="A1681" s="1">
        <v>1680.0</v>
      </c>
      <c r="B1681" s="1" t="s">
        <v>1204</v>
      </c>
      <c r="C1681" s="1" t="s">
        <v>1016</v>
      </c>
      <c r="D1681" s="1">
        <v>1.0</v>
      </c>
      <c r="E1681" s="1" t="s">
        <v>789</v>
      </c>
      <c r="F1681" s="1">
        <v>10814.0</v>
      </c>
    </row>
    <row r="1682">
      <c r="A1682" s="1">
        <v>1681.0</v>
      </c>
      <c r="B1682" s="1" t="s">
        <v>1168</v>
      </c>
      <c r="C1682" s="1" t="s">
        <v>1016</v>
      </c>
      <c r="D1682" s="1">
        <v>1.0</v>
      </c>
      <c r="E1682" s="1" t="s">
        <v>789</v>
      </c>
      <c r="F1682" s="1">
        <v>15540.0</v>
      </c>
    </row>
    <row r="1683">
      <c r="A1683" s="1">
        <v>1682.0</v>
      </c>
      <c r="B1683" s="1" t="s">
        <v>1205</v>
      </c>
      <c r="C1683" s="1" t="s">
        <v>1016</v>
      </c>
      <c r="D1683" s="1">
        <v>1.0</v>
      </c>
      <c r="E1683" s="1" t="s">
        <v>789</v>
      </c>
      <c r="F1683" s="1">
        <v>517757.0</v>
      </c>
    </row>
    <row r="1684">
      <c r="A1684" s="1">
        <v>1683.0</v>
      </c>
      <c r="B1684" s="1" t="s">
        <v>1206</v>
      </c>
      <c r="C1684" s="1" t="s">
        <v>1016</v>
      </c>
      <c r="D1684" s="1">
        <v>1.0</v>
      </c>
      <c r="E1684" s="1" t="s">
        <v>789</v>
      </c>
      <c r="F1684" s="1">
        <v>23443.0</v>
      </c>
    </row>
    <row r="1685">
      <c r="A1685" s="1">
        <v>1684.0</v>
      </c>
      <c r="B1685" s="1" t="s">
        <v>795</v>
      </c>
      <c r="C1685" s="1" t="s">
        <v>1016</v>
      </c>
      <c r="D1685" s="1">
        <v>1.0</v>
      </c>
      <c r="E1685" s="1" t="s">
        <v>789</v>
      </c>
      <c r="F1685" s="1">
        <v>52456.0</v>
      </c>
    </row>
    <row r="1686">
      <c r="A1686" s="1">
        <v>1685.0</v>
      </c>
      <c r="B1686" s="1" t="s">
        <v>1207</v>
      </c>
      <c r="C1686" s="1" t="s">
        <v>1016</v>
      </c>
      <c r="D1686" s="1">
        <v>1.0</v>
      </c>
      <c r="E1686" s="1" t="s">
        <v>789</v>
      </c>
      <c r="F1686" s="1">
        <v>778606.0</v>
      </c>
    </row>
    <row r="1687">
      <c r="A1687" s="1">
        <v>1686.0</v>
      </c>
      <c r="B1687" s="1" t="s">
        <v>1208</v>
      </c>
      <c r="C1687" s="1" t="s">
        <v>1016</v>
      </c>
      <c r="D1687" s="1">
        <v>1.0</v>
      </c>
      <c r="E1687" s="1" t="s">
        <v>789</v>
      </c>
      <c r="F1687" s="1">
        <v>232105.0</v>
      </c>
    </row>
    <row r="1688">
      <c r="A1688" s="1">
        <v>1687.0</v>
      </c>
      <c r="B1688" s="1" t="s">
        <v>306</v>
      </c>
      <c r="C1688" s="1" t="s">
        <v>1016</v>
      </c>
      <c r="D1688" s="1">
        <v>1.0</v>
      </c>
      <c r="E1688" s="1" t="s">
        <v>789</v>
      </c>
      <c r="F1688" s="1">
        <v>455550.0</v>
      </c>
    </row>
    <row r="1689">
      <c r="A1689" s="1">
        <v>1688.0</v>
      </c>
      <c r="B1689" s="1" t="s">
        <v>1209</v>
      </c>
      <c r="C1689" s="1" t="s">
        <v>1016</v>
      </c>
      <c r="D1689" s="1">
        <v>1.0</v>
      </c>
      <c r="E1689" s="1" t="s">
        <v>789</v>
      </c>
      <c r="F1689" s="1">
        <v>83.0</v>
      </c>
    </row>
    <row r="1690">
      <c r="A1690" s="1">
        <v>1689.0</v>
      </c>
      <c r="B1690" s="1" t="s">
        <v>1210</v>
      </c>
      <c r="C1690" s="1" t="s">
        <v>1016</v>
      </c>
      <c r="D1690" s="1">
        <v>1.0</v>
      </c>
      <c r="E1690" s="1" t="s">
        <v>789</v>
      </c>
      <c r="F1690" s="1">
        <v>451451.0</v>
      </c>
    </row>
    <row r="1691">
      <c r="A1691" s="1">
        <v>1690.0</v>
      </c>
      <c r="B1691" s="1" t="s">
        <v>1211</v>
      </c>
      <c r="C1691" s="1" t="s">
        <v>1016</v>
      </c>
      <c r="D1691" s="1">
        <v>1.0</v>
      </c>
      <c r="E1691" s="1" t="s">
        <v>789</v>
      </c>
      <c r="F1691" s="1">
        <v>268721.0</v>
      </c>
    </row>
    <row r="1692">
      <c r="A1692" s="1">
        <v>1691.0</v>
      </c>
      <c r="B1692" s="1" t="s">
        <v>54</v>
      </c>
      <c r="C1692" s="1" t="s">
        <v>1016</v>
      </c>
      <c r="D1692" s="1">
        <v>1.0</v>
      </c>
      <c r="E1692" s="1" t="s">
        <v>789</v>
      </c>
      <c r="F1692" s="1">
        <v>2063.0</v>
      </c>
    </row>
    <row r="1693">
      <c r="A1693" s="1">
        <v>1692.0</v>
      </c>
      <c r="B1693" s="1" t="s">
        <v>330</v>
      </c>
      <c r="C1693" s="1" t="s">
        <v>1016</v>
      </c>
      <c r="D1693" s="1">
        <v>1.0</v>
      </c>
      <c r="E1693" s="1" t="s">
        <v>789</v>
      </c>
      <c r="F1693" s="1">
        <v>1976461.0</v>
      </c>
    </row>
    <row r="1694">
      <c r="A1694" s="1">
        <v>1693.0</v>
      </c>
      <c r="B1694" s="1" t="s">
        <v>1212</v>
      </c>
      <c r="C1694" s="1" t="s">
        <v>1016</v>
      </c>
      <c r="D1694" s="1">
        <v>1.0</v>
      </c>
      <c r="E1694" s="1" t="s">
        <v>789</v>
      </c>
      <c r="F1694" s="1">
        <v>691840.0</v>
      </c>
    </row>
    <row r="1695">
      <c r="A1695" s="1">
        <v>1694.0</v>
      </c>
      <c r="B1695" s="1" t="s">
        <v>1213</v>
      </c>
      <c r="C1695" s="1" t="s">
        <v>1016</v>
      </c>
      <c r="D1695" s="1">
        <v>1.0</v>
      </c>
      <c r="E1695" s="1" t="s">
        <v>789</v>
      </c>
      <c r="F1695" s="1">
        <v>518419.0</v>
      </c>
    </row>
    <row r="1696">
      <c r="A1696" s="1">
        <v>1695.0</v>
      </c>
      <c r="B1696" s="1" t="s">
        <v>1214</v>
      </c>
      <c r="C1696" s="1" t="s">
        <v>1016</v>
      </c>
      <c r="D1696" s="1">
        <v>1.0</v>
      </c>
      <c r="E1696" s="1" t="s">
        <v>789</v>
      </c>
      <c r="F1696" s="1">
        <v>901815.0</v>
      </c>
    </row>
    <row r="1697">
      <c r="A1697" s="1">
        <v>1696.0</v>
      </c>
      <c r="B1697" s="1" t="s">
        <v>1215</v>
      </c>
      <c r="C1697" s="1" t="s">
        <v>1016</v>
      </c>
      <c r="D1697" s="1">
        <v>1.0</v>
      </c>
      <c r="E1697" s="1" t="s">
        <v>789</v>
      </c>
      <c r="F1697" s="1">
        <v>196834.0</v>
      </c>
    </row>
    <row r="1698">
      <c r="A1698" s="1">
        <v>1697.0</v>
      </c>
      <c r="B1698" s="1" t="s">
        <v>1216</v>
      </c>
      <c r="C1698" s="1" t="s">
        <v>1016</v>
      </c>
      <c r="D1698" s="1">
        <v>1.0</v>
      </c>
      <c r="E1698" s="1" t="s">
        <v>789</v>
      </c>
      <c r="F1698" s="1">
        <v>134.0</v>
      </c>
    </row>
    <row r="1699">
      <c r="A1699" s="1">
        <v>1698.0</v>
      </c>
      <c r="B1699" s="1" t="s">
        <v>1217</v>
      </c>
      <c r="C1699" s="1" t="s">
        <v>1016</v>
      </c>
      <c r="D1699" s="1">
        <v>1.0</v>
      </c>
      <c r="E1699" s="1" t="s">
        <v>789</v>
      </c>
      <c r="F1699" s="1">
        <v>36956.0</v>
      </c>
    </row>
    <row r="1700">
      <c r="A1700" s="1">
        <v>1699.0</v>
      </c>
      <c r="B1700" s="1" t="s">
        <v>1063</v>
      </c>
      <c r="C1700" s="1" t="s">
        <v>1016</v>
      </c>
      <c r="D1700" s="1">
        <v>1.0</v>
      </c>
      <c r="E1700" s="1" t="s">
        <v>789</v>
      </c>
      <c r="F1700" s="1">
        <v>468.0</v>
      </c>
    </row>
    <row r="1701">
      <c r="A1701" s="1">
        <v>1700.0</v>
      </c>
      <c r="B1701" s="1" t="s">
        <v>1218</v>
      </c>
      <c r="C1701" s="1" t="s">
        <v>1016</v>
      </c>
      <c r="D1701" s="1">
        <v>1.0</v>
      </c>
      <c r="E1701" s="1" t="s">
        <v>789</v>
      </c>
      <c r="F1701" s="1">
        <v>290315.0</v>
      </c>
    </row>
    <row r="1702">
      <c r="A1702" s="1">
        <v>1701.0</v>
      </c>
      <c r="B1702" s="1" t="s">
        <v>196</v>
      </c>
      <c r="C1702" s="1" t="s">
        <v>1016</v>
      </c>
      <c r="D1702" s="1">
        <v>1.0</v>
      </c>
      <c r="E1702" s="1" t="s">
        <v>789</v>
      </c>
      <c r="F1702" s="1">
        <v>24004.0</v>
      </c>
    </row>
    <row r="1703">
      <c r="A1703" s="1">
        <v>1702.0</v>
      </c>
      <c r="B1703" s="1" t="s">
        <v>797</v>
      </c>
      <c r="C1703" s="1" t="s">
        <v>1016</v>
      </c>
      <c r="D1703" s="1">
        <v>1.0</v>
      </c>
      <c r="E1703" s="1" t="s">
        <v>789</v>
      </c>
      <c r="F1703" s="1">
        <v>14126.0</v>
      </c>
    </row>
    <row r="1704">
      <c r="A1704" s="1">
        <v>1703.0</v>
      </c>
      <c r="B1704" s="1" t="s">
        <v>300</v>
      </c>
      <c r="C1704" s="1" t="s">
        <v>1016</v>
      </c>
      <c r="D1704" s="1">
        <v>1.0</v>
      </c>
      <c r="E1704" s="1" t="s">
        <v>789</v>
      </c>
      <c r="F1704" s="1">
        <v>522547.0</v>
      </c>
    </row>
    <row r="1705">
      <c r="A1705" s="1">
        <v>1704.0</v>
      </c>
      <c r="B1705" s="1" t="s">
        <v>1219</v>
      </c>
      <c r="C1705" s="1" t="s">
        <v>1016</v>
      </c>
      <c r="D1705" s="1">
        <v>1.0</v>
      </c>
      <c r="E1705" s="1" t="s">
        <v>789</v>
      </c>
      <c r="F1705" s="1">
        <v>5.0</v>
      </c>
    </row>
    <row r="1706">
      <c r="A1706" s="1">
        <v>1705.0</v>
      </c>
      <c r="B1706" s="5" t="s">
        <v>1220</v>
      </c>
      <c r="C1706" s="1" t="s">
        <v>1016</v>
      </c>
      <c r="D1706" s="1">
        <v>1.0</v>
      </c>
      <c r="E1706" s="1" t="s">
        <v>789</v>
      </c>
      <c r="F1706" s="1">
        <v>29560.0</v>
      </c>
    </row>
    <row r="1707">
      <c r="A1707" s="1">
        <v>1706.0</v>
      </c>
      <c r="B1707" s="1" t="s">
        <v>1221</v>
      </c>
      <c r="C1707" s="1" t="s">
        <v>1016</v>
      </c>
      <c r="D1707" s="1">
        <v>1.0</v>
      </c>
      <c r="E1707" s="1" t="s">
        <v>789</v>
      </c>
      <c r="F1707" s="1">
        <v>18326.0</v>
      </c>
    </row>
    <row r="1708">
      <c r="A1708" s="1">
        <v>1707.0</v>
      </c>
      <c r="B1708" s="1" t="s">
        <v>804</v>
      </c>
      <c r="C1708" s="1" t="s">
        <v>1016</v>
      </c>
      <c r="D1708" s="1">
        <v>1.0</v>
      </c>
      <c r="E1708" s="1" t="s">
        <v>789</v>
      </c>
      <c r="F1708" s="1">
        <v>221675.0</v>
      </c>
    </row>
    <row r="1709">
      <c r="A1709" s="1">
        <v>1708.0</v>
      </c>
      <c r="B1709" s="1" t="s">
        <v>9</v>
      </c>
      <c r="C1709" s="1" t="s">
        <v>1016</v>
      </c>
      <c r="D1709" s="1">
        <v>1.0</v>
      </c>
      <c r="E1709" s="1" t="s">
        <v>789</v>
      </c>
      <c r="F1709" s="1">
        <v>45404.0</v>
      </c>
    </row>
    <row r="1710">
      <c r="A1710" s="1">
        <v>1709.0</v>
      </c>
      <c r="B1710" s="1" t="s">
        <v>1222</v>
      </c>
      <c r="C1710" s="1" t="s">
        <v>1016</v>
      </c>
      <c r="D1710" s="1">
        <v>1.0</v>
      </c>
      <c r="E1710" s="1" t="s">
        <v>789</v>
      </c>
      <c r="F1710" s="1">
        <v>207194.0</v>
      </c>
    </row>
    <row r="1711">
      <c r="A1711" s="1">
        <v>1710.0</v>
      </c>
      <c r="B1711" s="1" t="s">
        <v>1223</v>
      </c>
      <c r="C1711" s="1" t="s">
        <v>1016</v>
      </c>
      <c r="D1711" s="1">
        <v>1.0</v>
      </c>
      <c r="E1711" s="1" t="s">
        <v>789</v>
      </c>
      <c r="F1711" s="1">
        <v>381856.0</v>
      </c>
    </row>
    <row r="1712">
      <c r="A1712" s="1">
        <v>1711.0</v>
      </c>
      <c r="B1712" s="1" t="s">
        <v>610</v>
      </c>
      <c r="C1712" s="1" t="s">
        <v>1016</v>
      </c>
      <c r="D1712" s="1">
        <v>1.0</v>
      </c>
      <c r="E1712" s="1" t="s">
        <v>789</v>
      </c>
      <c r="F1712" s="1">
        <v>42760.0</v>
      </c>
    </row>
    <row r="1713">
      <c r="A1713" s="1">
        <v>1712.0</v>
      </c>
      <c r="B1713" s="1" t="s">
        <v>1224</v>
      </c>
      <c r="C1713" s="1" t="s">
        <v>1016</v>
      </c>
      <c r="D1713" s="1">
        <v>1.0</v>
      </c>
      <c r="E1713" s="1" t="s">
        <v>789</v>
      </c>
      <c r="F1713" s="1">
        <v>3.0</v>
      </c>
    </row>
    <row r="1714">
      <c r="A1714" s="1">
        <v>1713.0</v>
      </c>
      <c r="B1714" s="1" t="s">
        <v>1225</v>
      </c>
      <c r="C1714" s="1" t="s">
        <v>1016</v>
      </c>
      <c r="D1714" s="1">
        <v>1.0</v>
      </c>
      <c r="E1714" s="1" t="s">
        <v>789</v>
      </c>
      <c r="F1714" s="1">
        <v>31447.0</v>
      </c>
    </row>
    <row r="1715">
      <c r="A1715" s="1">
        <v>1714.0</v>
      </c>
      <c r="B1715" s="1" t="s">
        <v>1161</v>
      </c>
      <c r="C1715" s="1" t="s">
        <v>1016</v>
      </c>
      <c r="D1715" s="1">
        <v>86.0</v>
      </c>
      <c r="E1715" s="1" t="s">
        <v>873</v>
      </c>
      <c r="F1715" s="1">
        <v>230043.0</v>
      </c>
    </row>
    <row r="1716">
      <c r="A1716" s="1">
        <v>1715.0</v>
      </c>
      <c r="B1716" s="1" t="s">
        <v>9</v>
      </c>
      <c r="C1716" s="1" t="s">
        <v>1016</v>
      </c>
      <c r="D1716" s="1">
        <v>49.0</v>
      </c>
      <c r="E1716" s="1" t="s">
        <v>873</v>
      </c>
      <c r="F1716" s="1">
        <v>91.0</v>
      </c>
    </row>
    <row r="1717">
      <c r="A1717" s="1">
        <v>1716.0</v>
      </c>
      <c r="B1717" s="1" t="s">
        <v>11</v>
      </c>
      <c r="C1717" s="1" t="s">
        <v>1016</v>
      </c>
      <c r="D1717" s="1">
        <v>28.0</v>
      </c>
      <c r="E1717" s="1" t="s">
        <v>873</v>
      </c>
      <c r="F1717" s="1">
        <v>602557.0</v>
      </c>
    </row>
    <row r="1718">
      <c r="A1718" s="1">
        <v>1717.0</v>
      </c>
      <c r="B1718" s="1" t="s">
        <v>59</v>
      </c>
      <c r="C1718" s="1" t="s">
        <v>1016</v>
      </c>
      <c r="D1718" s="1">
        <v>26.0</v>
      </c>
      <c r="E1718" s="1" t="s">
        <v>873</v>
      </c>
      <c r="F1718" s="1">
        <v>414214.0</v>
      </c>
    </row>
    <row r="1719">
      <c r="A1719" s="1">
        <v>1718.0</v>
      </c>
      <c r="B1719" s="1" t="s">
        <v>516</v>
      </c>
      <c r="C1719" s="1" t="s">
        <v>1016</v>
      </c>
      <c r="D1719" s="1">
        <v>24.0</v>
      </c>
      <c r="E1719" s="1" t="s">
        <v>873</v>
      </c>
      <c r="F1719" s="1">
        <v>635113.0</v>
      </c>
    </row>
    <row r="1720">
      <c r="A1720" s="1">
        <v>1719.0</v>
      </c>
      <c r="B1720" s="1" t="s">
        <v>1226</v>
      </c>
      <c r="C1720" s="1" t="s">
        <v>1016</v>
      </c>
      <c r="D1720" s="1">
        <v>20.0</v>
      </c>
      <c r="E1720" s="1" t="s">
        <v>873</v>
      </c>
      <c r="F1720" s="1">
        <v>711651.0</v>
      </c>
    </row>
    <row r="1721">
      <c r="A1721" s="1">
        <v>1720.0</v>
      </c>
      <c r="B1721" s="1" t="s">
        <v>1227</v>
      </c>
      <c r="C1721" s="1" t="s">
        <v>1016</v>
      </c>
      <c r="D1721" s="1">
        <v>20.0</v>
      </c>
      <c r="E1721" s="1" t="s">
        <v>873</v>
      </c>
      <c r="F1721" s="1">
        <v>670089.0</v>
      </c>
    </row>
    <row r="1722">
      <c r="A1722" s="1">
        <v>1721.0</v>
      </c>
      <c r="B1722" s="1" t="s">
        <v>65</v>
      </c>
      <c r="C1722" s="1" t="s">
        <v>1016</v>
      </c>
      <c r="D1722" s="1">
        <v>17.0</v>
      </c>
      <c r="E1722" s="1" t="s">
        <v>873</v>
      </c>
      <c r="F1722" s="1">
        <v>500434.0</v>
      </c>
    </row>
    <row r="1723">
      <c r="A1723" s="1">
        <v>1722.0</v>
      </c>
      <c r="B1723" s="1" t="s">
        <v>794</v>
      </c>
      <c r="C1723" s="1" t="s">
        <v>1016</v>
      </c>
      <c r="D1723" s="1">
        <v>17.0</v>
      </c>
      <c r="E1723" s="1" t="s">
        <v>873</v>
      </c>
      <c r="F1723" s="1">
        <v>960000.0</v>
      </c>
    </row>
    <row r="1724">
      <c r="A1724" s="1">
        <v>1723.0</v>
      </c>
      <c r="B1724" s="1" t="s">
        <v>1228</v>
      </c>
      <c r="C1724" s="1" t="s">
        <v>1016</v>
      </c>
      <c r="D1724" s="1">
        <v>17.0</v>
      </c>
      <c r="E1724" s="1" t="s">
        <v>873</v>
      </c>
      <c r="F1724" s="1">
        <v>594768.0</v>
      </c>
    </row>
    <row r="1725">
      <c r="A1725" s="1">
        <v>1724.0</v>
      </c>
      <c r="B1725" s="1" t="s">
        <v>111</v>
      </c>
      <c r="C1725" s="1" t="s">
        <v>1016</v>
      </c>
      <c r="D1725" s="1">
        <v>15.0</v>
      </c>
      <c r="E1725" s="1" t="s">
        <v>873</v>
      </c>
      <c r="F1725" s="1">
        <v>134.0</v>
      </c>
    </row>
    <row r="1726">
      <c r="A1726" s="1">
        <v>1725.0</v>
      </c>
      <c r="B1726" s="1" t="s">
        <v>878</v>
      </c>
      <c r="C1726" s="1" t="s">
        <v>1016</v>
      </c>
      <c r="D1726" s="1">
        <v>15.0</v>
      </c>
      <c r="E1726" s="1" t="s">
        <v>873</v>
      </c>
      <c r="F1726" s="1">
        <v>601029.0</v>
      </c>
    </row>
    <row r="1727">
      <c r="A1727" s="1">
        <v>1726.0</v>
      </c>
      <c r="B1727" s="1" t="s">
        <v>874</v>
      </c>
      <c r="C1727" s="1" t="s">
        <v>1016</v>
      </c>
      <c r="D1727" s="1">
        <v>15.0</v>
      </c>
      <c r="E1727" s="1" t="s">
        <v>873</v>
      </c>
      <c r="F1727" s="1">
        <v>449332.0</v>
      </c>
    </row>
    <row r="1728">
      <c r="A1728" s="1">
        <v>1727.0</v>
      </c>
      <c r="B1728" s="1" t="s">
        <v>16</v>
      </c>
      <c r="C1728" s="1" t="s">
        <v>1016</v>
      </c>
      <c r="D1728" s="1">
        <v>14.0</v>
      </c>
      <c r="E1728" s="1" t="s">
        <v>873</v>
      </c>
      <c r="F1728" s="1">
        <v>456591.0</v>
      </c>
    </row>
    <row r="1729">
      <c r="A1729" s="1">
        <v>1728.0</v>
      </c>
      <c r="B1729" s="1" t="s">
        <v>380</v>
      </c>
      <c r="C1729" s="1" t="s">
        <v>1016</v>
      </c>
      <c r="D1729" s="1">
        <v>14.0</v>
      </c>
      <c r="E1729" s="1" t="s">
        <v>873</v>
      </c>
      <c r="F1729" s="1">
        <v>525749.0</v>
      </c>
    </row>
    <row r="1730">
      <c r="A1730" s="1">
        <v>1729.0</v>
      </c>
      <c r="B1730" s="1" t="s">
        <v>27</v>
      </c>
      <c r="C1730" s="1" t="s">
        <v>1016</v>
      </c>
      <c r="D1730" s="1">
        <v>14.0</v>
      </c>
      <c r="E1730" s="1" t="s">
        <v>873</v>
      </c>
      <c r="F1730" s="1">
        <v>593140.0</v>
      </c>
    </row>
    <row r="1731">
      <c r="A1731" s="1">
        <v>1730.0</v>
      </c>
      <c r="B1731" s="1" t="s">
        <v>85</v>
      </c>
      <c r="C1731" s="1" t="s">
        <v>1016</v>
      </c>
      <c r="D1731" s="1">
        <v>13.0</v>
      </c>
      <c r="E1731" s="1" t="s">
        <v>873</v>
      </c>
      <c r="F1731" s="1">
        <v>484519.0</v>
      </c>
    </row>
    <row r="1732">
      <c r="A1732" s="1">
        <v>1731.0</v>
      </c>
      <c r="B1732" s="1" t="s">
        <v>469</v>
      </c>
      <c r="C1732" s="1" t="s">
        <v>1016</v>
      </c>
      <c r="D1732" s="1">
        <v>12.0</v>
      </c>
      <c r="E1732" s="1" t="s">
        <v>873</v>
      </c>
      <c r="F1732" s="1">
        <v>566735.0</v>
      </c>
    </row>
    <row r="1733">
      <c r="A1733" s="1">
        <v>1732.0</v>
      </c>
      <c r="B1733" s="1" t="s">
        <v>14</v>
      </c>
      <c r="C1733" s="1" t="s">
        <v>1016</v>
      </c>
      <c r="D1733" s="1">
        <v>12.0</v>
      </c>
      <c r="E1733" s="1" t="s">
        <v>873</v>
      </c>
      <c r="F1733" s="1">
        <v>401435.0</v>
      </c>
    </row>
    <row r="1734">
      <c r="A1734" s="1">
        <v>1733.0</v>
      </c>
      <c r="B1734" s="1" t="s">
        <v>210</v>
      </c>
      <c r="C1734" s="1" t="s">
        <v>1016</v>
      </c>
      <c r="D1734" s="1">
        <v>12.0</v>
      </c>
      <c r="E1734" s="1" t="s">
        <v>873</v>
      </c>
      <c r="F1734" s="1">
        <v>602693.0</v>
      </c>
    </row>
    <row r="1735">
      <c r="A1735" s="1">
        <v>1734.0</v>
      </c>
      <c r="B1735" s="1" t="s">
        <v>620</v>
      </c>
      <c r="C1735" s="1" t="s">
        <v>1016</v>
      </c>
      <c r="D1735" s="1">
        <v>11.0</v>
      </c>
      <c r="E1735" s="1" t="s">
        <v>873</v>
      </c>
      <c r="F1735" s="1">
        <v>340679.0</v>
      </c>
    </row>
    <row r="1736">
      <c r="A1736" s="1">
        <v>1735.0</v>
      </c>
      <c r="B1736" s="1" t="s">
        <v>69</v>
      </c>
      <c r="C1736" s="1" t="s">
        <v>1016</v>
      </c>
      <c r="D1736" s="1">
        <v>11.0</v>
      </c>
      <c r="E1736" s="1" t="s">
        <v>873</v>
      </c>
      <c r="F1736" s="1">
        <v>712674.0</v>
      </c>
    </row>
    <row r="1737">
      <c r="A1737" s="1">
        <v>1736.0</v>
      </c>
      <c r="B1737" s="1" t="s">
        <v>890</v>
      </c>
      <c r="C1737" s="1" t="s">
        <v>1016</v>
      </c>
      <c r="D1737" s="1">
        <v>10.0</v>
      </c>
      <c r="E1737" s="1" t="s">
        <v>873</v>
      </c>
      <c r="F1737" s="1">
        <v>351668.0</v>
      </c>
    </row>
    <row r="1738">
      <c r="A1738" s="1">
        <v>1737.0</v>
      </c>
      <c r="B1738" s="1" t="s">
        <v>74</v>
      </c>
      <c r="C1738" s="1" t="s">
        <v>1016</v>
      </c>
      <c r="D1738" s="1">
        <v>9.0</v>
      </c>
      <c r="E1738" s="1" t="s">
        <v>873</v>
      </c>
      <c r="F1738" s="1">
        <v>928492.0</v>
      </c>
    </row>
    <row r="1739">
      <c r="A1739" s="1">
        <v>1738.0</v>
      </c>
      <c r="B1739" s="1" t="s">
        <v>1229</v>
      </c>
      <c r="C1739" s="1" t="s">
        <v>1016</v>
      </c>
      <c r="D1739" s="1">
        <v>9.0</v>
      </c>
      <c r="E1739" s="1" t="s">
        <v>873</v>
      </c>
      <c r="F1739" s="1">
        <v>397330.0</v>
      </c>
    </row>
    <row r="1740">
      <c r="A1740" s="1">
        <v>1739.0</v>
      </c>
      <c r="B1740" s="1" t="s">
        <v>897</v>
      </c>
      <c r="C1740" s="1" t="s">
        <v>1016</v>
      </c>
      <c r="D1740" s="1">
        <v>9.0</v>
      </c>
      <c r="E1740" s="1" t="s">
        <v>873</v>
      </c>
      <c r="F1740" s="1">
        <v>19.0</v>
      </c>
    </row>
    <row r="1741">
      <c r="A1741" s="1">
        <v>1740.0</v>
      </c>
      <c r="B1741" s="1" t="s">
        <v>1230</v>
      </c>
      <c r="C1741" s="1" t="s">
        <v>1016</v>
      </c>
      <c r="D1741" s="1">
        <v>8.0</v>
      </c>
      <c r="E1741" s="1" t="s">
        <v>873</v>
      </c>
      <c r="F1741" s="1">
        <v>731213.0</v>
      </c>
    </row>
    <row r="1742">
      <c r="A1742" s="1">
        <v>1741.0</v>
      </c>
      <c r="B1742" s="1" t="s">
        <v>610</v>
      </c>
      <c r="C1742" s="1" t="s">
        <v>1016</v>
      </c>
      <c r="D1742" s="1">
        <v>8.0</v>
      </c>
      <c r="E1742" s="1" t="s">
        <v>873</v>
      </c>
      <c r="F1742" s="1">
        <v>726809.0</v>
      </c>
    </row>
    <row r="1743">
      <c r="A1743" s="1">
        <v>1742.0</v>
      </c>
      <c r="B1743" s="1" t="s">
        <v>111</v>
      </c>
      <c r="C1743" s="1" t="s">
        <v>1016</v>
      </c>
      <c r="D1743" s="1">
        <v>8.0</v>
      </c>
      <c r="E1743" s="1" t="s">
        <v>873</v>
      </c>
      <c r="F1743" s="1">
        <v>89248.0</v>
      </c>
    </row>
    <row r="1744">
      <c r="A1744" s="1">
        <v>1743.0</v>
      </c>
      <c r="B1744" s="1" t="s">
        <v>220</v>
      </c>
      <c r="C1744" s="1" t="s">
        <v>1016</v>
      </c>
      <c r="D1744" s="1">
        <v>8.0</v>
      </c>
      <c r="E1744" s="1" t="s">
        <v>873</v>
      </c>
      <c r="F1744" s="1">
        <v>509210.0</v>
      </c>
    </row>
    <row r="1745">
      <c r="A1745" s="1">
        <v>1744.0</v>
      </c>
      <c r="B1745" s="1" t="s">
        <v>1231</v>
      </c>
      <c r="C1745" s="1" t="s">
        <v>1016</v>
      </c>
      <c r="D1745" s="1">
        <v>8.0</v>
      </c>
      <c r="E1745" s="1" t="s">
        <v>873</v>
      </c>
      <c r="F1745" s="1">
        <v>400410.0</v>
      </c>
    </row>
    <row r="1746">
      <c r="A1746" s="1">
        <v>1745.0</v>
      </c>
      <c r="B1746" s="1" t="s">
        <v>119</v>
      </c>
      <c r="C1746" s="1" t="s">
        <v>1016</v>
      </c>
      <c r="D1746" s="1">
        <v>7.0</v>
      </c>
      <c r="E1746" s="1" t="s">
        <v>873</v>
      </c>
      <c r="F1746" s="1">
        <v>680894.0</v>
      </c>
    </row>
    <row r="1747">
      <c r="A1747" s="1">
        <v>1746.0</v>
      </c>
      <c r="B1747" s="1" t="s">
        <v>915</v>
      </c>
      <c r="C1747" s="1" t="s">
        <v>1016</v>
      </c>
      <c r="D1747" s="1">
        <v>7.0</v>
      </c>
      <c r="E1747" s="1" t="s">
        <v>873</v>
      </c>
      <c r="F1747" s="1">
        <v>17.0</v>
      </c>
    </row>
    <row r="1748">
      <c r="A1748" s="1">
        <v>1747.0</v>
      </c>
      <c r="B1748" s="1" t="s">
        <v>899</v>
      </c>
      <c r="C1748" s="1" t="s">
        <v>1016</v>
      </c>
      <c r="D1748" s="1">
        <v>7.0</v>
      </c>
      <c r="E1748" s="1" t="s">
        <v>873</v>
      </c>
      <c r="F1748" s="1">
        <v>1401954.0</v>
      </c>
    </row>
    <row r="1749">
      <c r="A1749" s="1">
        <v>1748.0</v>
      </c>
      <c r="B1749" s="1" t="s">
        <v>1232</v>
      </c>
      <c r="C1749" s="1" t="s">
        <v>1016</v>
      </c>
      <c r="D1749" s="1">
        <v>7.0</v>
      </c>
      <c r="E1749" s="1" t="s">
        <v>873</v>
      </c>
      <c r="F1749" s="1">
        <v>261907.0</v>
      </c>
    </row>
    <row r="1750">
      <c r="A1750" s="1">
        <v>1749.0</v>
      </c>
      <c r="B1750" s="1" t="s">
        <v>627</v>
      </c>
      <c r="C1750" s="1" t="s">
        <v>1016</v>
      </c>
      <c r="D1750" s="1">
        <v>6.0</v>
      </c>
      <c r="E1750" s="1" t="s">
        <v>873</v>
      </c>
      <c r="F1750" s="1">
        <v>538846.0</v>
      </c>
    </row>
    <row r="1751">
      <c r="A1751" s="1">
        <v>1750.0</v>
      </c>
      <c r="B1751" s="1" t="s">
        <v>1233</v>
      </c>
      <c r="C1751" s="1" t="s">
        <v>1016</v>
      </c>
      <c r="D1751" s="1">
        <v>6.0</v>
      </c>
      <c r="E1751" s="1" t="s">
        <v>873</v>
      </c>
      <c r="F1751" s="1">
        <v>311449.0</v>
      </c>
    </row>
    <row r="1752">
      <c r="A1752" s="1">
        <v>1751.0</v>
      </c>
      <c r="B1752" s="1" t="s">
        <v>1234</v>
      </c>
      <c r="C1752" s="1" t="s">
        <v>1016</v>
      </c>
      <c r="D1752" s="1">
        <v>6.0</v>
      </c>
      <c r="E1752" s="1" t="s">
        <v>873</v>
      </c>
      <c r="F1752" s="1">
        <v>32910.0</v>
      </c>
    </row>
    <row r="1753">
      <c r="A1753" s="1">
        <v>1752.0</v>
      </c>
      <c r="B1753" s="1" t="s">
        <v>33</v>
      </c>
      <c r="C1753" s="1" t="s">
        <v>1016</v>
      </c>
      <c r="D1753" s="1">
        <v>6.0</v>
      </c>
      <c r="E1753" s="1" t="s">
        <v>873</v>
      </c>
      <c r="F1753" s="1">
        <v>25200.0</v>
      </c>
    </row>
    <row r="1754">
      <c r="A1754" s="1">
        <v>1753.0</v>
      </c>
      <c r="B1754" s="1" t="s">
        <v>584</v>
      </c>
      <c r="C1754" s="1" t="s">
        <v>1016</v>
      </c>
      <c r="D1754" s="1">
        <v>6.0</v>
      </c>
      <c r="E1754" s="1" t="s">
        <v>873</v>
      </c>
      <c r="F1754" s="1">
        <v>1324095.0</v>
      </c>
    </row>
    <row r="1755">
      <c r="A1755" s="1">
        <v>1754.0</v>
      </c>
      <c r="B1755" s="1" t="s">
        <v>38</v>
      </c>
      <c r="C1755" s="1" t="s">
        <v>1016</v>
      </c>
      <c r="D1755" s="1">
        <v>6.0</v>
      </c>
      <c r="E1755" s="1" t="s">
        <v>873</v>
      </c>
      <c r="F1755" s="1">
        <v>545756.0</v>
      </c>
    </row>
    <row r="1756">
      <c r="A1756" s="1">
        <v>1755.0</v>
      </c>
      <c r="B1756" s="1" t="s">
        <v>530</v>
      </c>
      <c r="C1756" s="1" t="s">
        <v>1016</v>
      </c>
      <c r="D1756" s="1">
        <v>6.0</v>
      </c>
      <c r="E1756" s="1" t="s">
        <v>873</v>
      </c>
      <c r="F1756" s="1">
        <v>43356.0</v>
      </c>
    </row>
    <row r="1757">
      <c r="A1757" s="1">
        <v>1756.0</v>
      </c>
      <c r="B1757" s="1" t="s">
        <v>182</v>
      </c>
      <c r="C1757" s="1" t="s">
        <v>1016</v>
      </c>
      <c r="D1757" s="1">
        <v>6.0</v>
      </c>
      <c r="E1757" s="1" t="s">
        <v>873</v>
      </c>
      <c r="F1757" s="1">
        <v>101501.0</v>
      </c>
    </row>
    <row r="1758">
      <c r="A1758" s="1">
        <v>1757.0</v>
      </c>
      <c r="B1758" s="1" t="s">
        <v>1235</v>
      </c>
      <c r="C1758" s="1" t="s">
        <v>1016</v>
      </c>
      <c r="D1758" s="1">
        <v>6.0</v>
      </c>
      <c r="E1758" s="1" t="s">
        <v>873</v>
      </c>
      <c r="F1758" s="1">
        <v>664286.0</v>
      </c>
    </row>
    <row r="1759">
      <c r="A1759" s="1">
        <v>1758.0</v>
      </c>
      <c r="B1759" s="1" t="s">
        <v>1236</v>
      </c>
      <c r="C1759" s="1" t="s">
        <v>1016</v>
      </c>
      <c r="D1759" s="1">
        <v>6.0</v>
      </c>
      <c r="E1759" s="1" t="s">
        <v>873</v>
      </c>
      <c r="F1759" s="1">
        <v>544387.0</v>
      </c>
    </row>
    <row r="1760">
      <c r="A1760" s="1">
        <v>1759.0</v>
      </c>
      <c r="B1760" s="1" t="s">
        <v>661</v>
      </c>
      <c r="C1760" s="1" t="s">
        <v>1016</v>
      </c>
      <c r="D1760" s="1">
        <v>6.0</v>
      </c>
      <c r="E1760" s="1" t="s">
        <v>873</v>
      </c>
      <c r="F1760" s="1">
        <v>36577.0</v>
      </c>
    </row>
    <row r="1761">
      <c r="A1761" s="1">
        <v>1760.0</v>
      </c>
      <c r="B1761" s="1" t="s">
        <v>1237</v>
      </c>
      <c r="C1761" s="1" t="s">
        <v>1016</v>
      </c>
      <c r="D1761" s="1">
        <v>5.0</v>
      </c>
      <c r="E1761" s="1" t="s">
        <v>873</v>
      </c>
      <c r="F1761" s="1">
        <v>309194.0</v>
      </c>
    </row>
    <row r="1762">
      <c r="A1762" s="1">
        <v>1761.0</v>
      </c>
      <c r="B1762" s="1" t="s">
        <v>1238</v>
      </c>
      <c r="C1762" s="1" t="s">
        <v>1016</v>
      </c>
      <c r="D1762" s="1">
        <v>5.0</v>
      </c>
      <c r="E1762" s="1" t="s">
        <v>873</v>
      </c>
      <c r="F1762" s="1">
        <v>537613.0</v>
      </c>
    </row>
    <row r="1763">
      <c r="A1763" s="1">
        <v>1762.0</v>
      </c>
      <c r="B1763" s="1" t="s">
        <v>1239</v>
      </c>
      <c r="C1763" s="1" t="s">
        <v>1016</v>
      </c>
      <c r="D1763" s="1">
        <v>5.0</v>
      </c>
      <c r="E1763" s="1" t="s">
        <v>873</v>
      </c>
      <c r="F1763" s="1">
        <v>484238.0</v>
      </c>
    </row>
    <row r="1764">
      <c r="A1764" s="1">
        <v>1763.0</v>
      </c>
      <c r="B1764" s="5" t="s">
        <v>1240</v>
      </c>
      <c r="C1764" s="1" t="s">
        <v>1016</v>
      </c>
      <c r="D1764" s="1">
        <v>5.0</v>
      </c>
      <c r="E1764" s="1" t="s">
        <v>873</v>
      </c>
      <c r="F1764" s="1">
        <v>1177000.0</v>
      </c>
    </row>
    <row r="1765">
      <c r="A1765" s="1">
        <v>1764.0</v>
      </c>
      <c r="B1765" s="1" t="s">
        <v>910</v>
      </c>
      <c r="C1765" s="1" t="s">
        <v>1016</v>
      </c>
      <c r="D1765" s="1">
        <v>5.0</v>
      </c>
      <c r="E1765" s="1" t="s">
        <v>873</v>
      </c>
      <c r="F1765" s="1">
        <v>541.0</v>
      </c>
    </row>
    <row r="1766">
      <c r="A1766" s="1">
        <v>1765.0</v>
      </c>
      <c r="B1766" s="1" t="s">
        <v>1241</v>
      </c>
      <c r="C1766" s="1" t="s">
        <v>1016</v>
      </c>
      <c r="D1766" s="1">
        <v>5.0</v>
      </c>
      <c r="E1766" s="1" t="s">
        <v>873</v>
      </c>
      <c r="F1766" s="1">
        <v>498630.0</v>
      </c>
    </row>
    <row r="1767">
      <c r="A1767" s="1">
        <v>1766.0</v>
      </c>
      <c r="B1767" s="1" t="s">
        <v>73</v>
      </c>
      <c r="C1767" s="1" t="s">
        <v>1016</v>
      </c>
      <c r="D1767" s="1">
        <v>5.0</v>
      </c>
      <c r="E1767" s="1" t="s">
        <v>873</v>
      </c>
      <c r="F1767" s="1">
        <v>363231.0</v>
      </c>
    </row>
    <row r="1768">
      <c r="A1768" s="1">
        <v>1767.0</v>
      </c>
      <c r="B1768" s="1" t="s">
        <v>876</v>
      </c>
      <c r="C1768" s="1" t="s">
        <v>1016</v>
      </c>
      <c r="D1768" s="1">
        <v>5.0</v>
      </c>
      <c r="E1768" s="1" t="s">
        <v>873</v>
      </c>
      <c r="F1768" s="1">
        <v>1119076.0</v>
      </c>
    </row>
    <row r="1769">
      <c r="A1769" s="1">
        <v>1768.0</v>
      </c>
      <c r="B1769" s="1" t="s">
        <v>1242</v>
      </c>
      <c r="C1769" s="1" t="s">
        <v>1016</v>
      </c>
      <c r="D1769" s="1">
        <v>5.0</v>
      </c>
      <c r="E1769" s="1" t="s">
        <v>873</v>
      </c>
      <c r="F1769" s="1">
        <v>23358.0</v>
      </c>
    </row>
    <row r="1770">
      <c r="A1770" s="1">
        <v>1769.0</v>
      </c>
      <c r="B1770" s="1" t="s">
        <v>1243</v>
      </c>
      <c r="C1770" s="1" t="s">
        <v>1016</v>
      </c>
      <c r="D1770" s="1">
        <v>5.0</v>
      </c>
      <c r="E1770" s="1" t="s">
        <v>873</v>
      </c>
      <c r="F1770" s="1">
        <v>20509.0</v>
      </c>
    </row>
    <row r="1771">
      <c r="A1771" s="1">
        <v>1770.0</v>
      </c>
      <c r="B1771" s="1" t="s">
        <v>12</v>
      </c>
      <c r="C1771" s="1" t="s">
        <v>1016</v>
      </c>
      <c r="D1771" s="1">
        <v>5.0</v>
      </c>
      <c r="E1771" s="1" t="s">
        <v>873</v>
      </c>
      <c r="F1771" s="1">
        <v>1130085.0</v>
      </c>
    </row>
    <row r="1772">
      <c r="A1772" s="1">
        <v>1771.0</v>
      </c>
      <c r="B1772" s="1" t="s">
        <v>1244</v>
      </c>
      <c r="C1772" s="1" t="s">
        <v>1016</v>
      </c>
      <c r="D1772" s="1">
        <v>5.0</v>
      </c>
      <c r="E1772" s="1" t="s">
        <v>873</v>
      </c>
      <c r="F1772" s="1">
        <v>594543.0</v>
      </c>
    </row>
    <row r="1773">
      <c r="A1773" s="1">
        <v>1772.0</v>
      </c>
      <c r="B1773" s="1" t="s">
        <v>1245</v>
      </c>
      <c r="C1773" s="1" t="s">
        <v>1016</v>
      </c>
      <c r="D1773" s="1">
        <v>4.0</v>
      </c>
      <c r="E1773" s="1" t="s">
        <v>873</v>
      </c>
      <c r="F1773" s="1">
        <v>604847.0</v>
      </c>
    </row>
    <row r="1774">
      <c r="A1774" s="1">
        <v>1773.0</v>
      </c>
      <c r="B1774" s="1" t="s">
        <v>885</v>
      </c>
      <c r="C1774" s="1" t="s">
        <v>1016</v>
      </c>
      <c r="D1774" s="1">
        <v>4.0</v>
      </c>
      <c r="E1774" s="1" t="s">
        <v>873</v>
      </c>
      <c r="F1774" s="1">
        <v>865056.0</v>
      </c>
    </row>
    <row r="1775">
      <c r="A1775" s="1">
        <v>1774.0</v>
      </c>
      <c r="B1775" s="1" t="s">
        <v>1246</v>
      </c>
      <c r="C1775" s="1" t="s">
        <v>1016</v>
      </c>
      <c r="D1775" s="1">
        <v>4.0</v>
      </c>
      <c r="E1775" s="1" t="s">
        <v>873</v>
      </c>
      <c r="F1775" s="1">
        <v>30254.0</v>
      </c>
    </row>
    <row r="1776">
      <c r="A1776" s="1">
        <v>1775.0</v>
      </c>
      <c r="B1776" s="1" t="s">
        <v>77</v>
      </c>
      <c r="C1776" s="1" t="s">
        <v>1016</v>
      </c>
      <c r="D1776" s="1">
        <v>4.0</v>
      </c>
      <c r="E1776" s="1" t="s">
        <v>873</v>
      </c>
      <c r="F1776" s="1">
        <v>600558.0</v>
      </c>
    </row>
    <row r="1777">
      <c r="A1777" s="1">
        <v>1776.0</v>
      </c>
      <c r="B1777" s="1" t="s">
        <v>1247</v>
      </c>
      <c r="C1777" s="1" t="s">
        <v>1016</v>
      </c>
      <c r="D1777" s="1">
        <v>4.0</v>
      </c>
      <c r="E1777" s="1" t="s">
        <v>873</v>
      </c>
      <c r="F1777" s="1">
        <v>66840.0</v>
      </c>
    </row>
    <row r="1778">
      <c r="A1778" s="1">
        <v>1777.0</v>
      </c>
      <c r="B1778" s="1" t="s">
        <v>1248</v>
      </c>
      <c r="C1778" s="1" t="s">
        <v>1016</v>
      </c>
      <c r="D1778" s="1">
        <v>4.0</v>
      </c>
      <c r="E1778" s="1" t="s">
        <v>873</v>
      </c>
      <c r="F1778" s="1">
        <v>778493.0</v>
      </c>
    </row>
    <row r="1779">
      <c r="A1779" s="1">
        <v>1778.0</v>
      </c>
      <c r="B1779" s="1" t="s">
        <v>1163</v>
      </c>
      <c r="C1779" s="1" t="s">
        <v>1016</v>
      </c>
      <c r="D1779" s="1">
        <v>4.0</v>
      </c>
      <c r="E1779" s="1" t="s">
        <v>873</v>
      </c>
      <c r="F1779" s="1">
        <v>654510.0</v>
      </c>
    </row>
    <row r="1780">
      <c r="A1780" s="1">
        <v>1779.0</v>
      </c>
      <c r="B1780" s="1" t="s">
        <v>20</v>
      </c>
      <c r="C1780" s="1" t="s">
        <v>1016</v>
      </c>
      <c r="D1780" s="1">
        <v>4.0</v>
      </c>
      <c r="E1780" s="1" t="s">
        <v>873</v>
      </c>
      <c r="F1780" s="1">
        <v>878070.0</v>
      </c>
    </row>
    <row r="1781">
      <c r="A1781" s="1">
        <v>1780.0</v>
      </c>
      <c r="B1781" s="1" t="s">
        <v>1249</v>
      </c>
      <c r="C1781" s="1" t="s">
        <v>1016</v>
      </c>
      <c r="D1781" s="1">
        <v>4.0</v>
      </c>
      <c r="E1781" s="1" t="s">
        <v>873</v>
      </c>
      <c r="F1781" s="1">
        <v>51929.0</v>
      </c>
    </row>
    <row r="1782">
      <c r="A1782" s="1">
        <v>1781.0</v>
      </c>
      <c r="B1782" s="1" t="s">
        <v>1250</v>
      </c>
      <c r="C1782" s="1" t="s">
        <v>1016</v>
      </c>
      <c r="D1782" s="1">
        <v>4.0</v>
      </c>
      <c r="E1782" s="1" t="s">
        <v>873</v>
      </c>
      <c r="F1782" s="1">
        <v>293232.0</v>
      </c>
    </row>
    <row r="1783">
      <c r="A1783" s="1">
        <v>1782.0</v>
      </c>
      <c r="B1783" s="1" t="s">
        <v>1251</v>
      </c>
      <c r="C1783" s="1" t="s">
        <v>1016</v>
      </c>
      <c r="D1783" s="1">
        <v>4.0</v>
      </c>
      <c r="E1783" s="1" t="s">
        <v>873</v>
      </c>
      <c r="F1783" s="1">
        <v>27726.0</v>
      </c>
    </row>
    <row r="1784">
      <c r="A1784" s="1">
        <v>1783.0</v>
      </c>
      <c r="B1784" s="1" t="s">
        <v>1252</v>
      </c>
      <c r="C1784" s="1" t="s">
        <v>1016</v>
      </c>
      <c r="D1784" s="1">
        <v>4.0</v>
      </c>
      <c r="E1784" s="1" t="s">
        <v>873</v>
      </c>
      <c r="F1784" s="1">
        <v>310144.0</v>
      </c>
    </row>
    <row r="1785">
      <c r="A1785" s="1">
        <v>1784.0</v>
      </c>
      <c r="B1785" s="1" t="s">
        <v>1253</v>
      </c>
      <c r="C1785" s="1" t="s">
        <v>1016</v>
      </c>
      <c r="D1785" s="1">
        <v>4.0</v>
      </c>
      <c r="E1785" s="1" t="s">
        <v>873</v>
      </c>
      <c r="F1785" s="1">
        <v>602345.0</v>
      </c>
    </row>
    <row r="1786">
      <c r="A1786" s="1">
        <v>1785.0</v>
      </c>
      <c r="B1786" s="1" t="s">
        <v>1254</v>
      </c>
      <c r="C1786" s="1" t="s">
        <v>1016</v>
      </c>
      <c r="D1786" s="1">
        <v>4.0</v>
      </c>
      <c r="E1786" s="1" t="s">
        <v>873</v>
      </c>
      <c r="F1786" s="1">
        <v>690924.0</v>
      </c>
    </row>
    <row r="1787">
      <c r="A1787" s="1">
        <v>1786.0</v>
      </c>
      <c r="B1787" s="1" t="s">
        <v>1255</v>
      </c>
      <c r="C1787" s="1" t="s">
        <v>1016</v>
      </c>
      <c r="D1787" s="1">
        <v>4.0</v>
      </c>
      <c r="E1787" s="1" t="s">
        <v>873</v>
      </c>
      <c r="F1787" s="1">
        <v>625157.0</v>
      </c>
    </row>
    <row r="1788">
      <c r="A1788" s="1">
        <v>1787.0</v>
      </c>
      <c r="B1788" s="1" t="s">
        <v>1256</v>
      </c>
      <c r="C1788" s="1" t="s">
        <v>1016</v>
      </c>
      <c r="D1788" s="1">
        <v>4.0</v>
      </c>
      <c r="E1788" s="1" t="s">
        <v>873</v>
      </c>
      <c r="F1788" s="1">
        <v>390283.0</v>
      </c>
    </row>
    <row r="1789">
      <c r="A1789" s="1">
        <v>1788.0</v>
      </c>
      <c r="B1789" s="1" t="s">
        <v>1257</v>
      </c>
      <c r="C1789" s="1" t="s">
        <v>1016</v>
      </c>
      <c r="D1789" s="1">
        <v>4.0</v>
      </c>
      <c r="E1789" s="1" t="s">
        <v>873</v>
      </c>
      <c r="F1789" s="1">
        <v>21984.0</v>
      </c>
    </row>
    <row r="1790">
      <c r="A1790" s="1">
        <v>1789.0</v>
      </c>
      <c r="B1790" s="1" t="s">
        <v>1258</v>
      </c>
      <c r="C1790" s="1" t="s">
        <v>1016</v>
      </c>
      <c r="D1790" s="1">
        <v>4.0</v>
      </c>
      <c r="E1790" s="1" t="s">
        <v>873</v>
      </c>
      <c r="F1790" s="1">
        <v>1151955.0</v>
      </c>
    </row>
    <row r="1791">
      <c r="A1791" s="1">
        <v>1790.0</v>
      </c>
      <c r="B1791" s="1" t="s">
        <v>1259</v>
      </c>
      <c r="C1791" s="1" t="s">
        <v>1016</v>
      </c>
      <c r="D1791" s="1">
        <v>4.0</v>
      </c>
      <c r="E1791" s="1" t="s">
        <v>873</v>
      </c>
      <c r="F1791" s="1">
        <v>10037.0</v>
      </c>
    </row>
    <row r="1792">
      <c r="A1792" s="1">
        <v>1791.0</v>
      </c>
      <c r="B1792" s="1" t="s">
        <v>1260</v>
      </c>
      <c r="C1792" s="1" t="s">
        <v>1016</v>
      </c>
      <c r="D1792" s="1">
        <v>4.0</v>
      </c>
      <c r="E1792" s="1" t="s">
        <v>873</v>
      </c>
      <c r="F1792" s="1">
        <v>409648.0</v>
      </c>
    </row>
    <row r="1793">
      <c r="A1793" s="1">
        <v>1792.0</v>
      </c>
      <c r="B1793" s="1" t="s">
        <v>901</v>
      </c>
      <c r="C1793" s="1" t="s">
        <v>1016</v>
      </c>
      <c r="D1793" s="1">
        <v>4.0</v>
      </c>
      <c r="E1793" s="1" t="s">
        <v>873</v>
      </c>
      <c r="F1793" s="1">
        <v>551047.0</v>
      </c>
    </row>
    <row r="1794">
      <c r="A1794" s="1">
        <v>1793.0</v>
      </c>
      <c r="B1794" s="1" t="s">
        <v>581</v>
      </c>
      <c r="C1794" s="1" t="s">
        <v>1016</v>
      </c>
      <c r="D1794" s="1">
        <v>4.0</v>
      </c>
      <c r="E1794" s="1" t="s">
        <v>873</v>
      </c>
      <c r="F1794" s="1">
        <v>418078.0</v>
      </c>
    </row>
    <row r="1795">
      <c r="A1795" s="1">
        <v>1794.0</v>
      </c>
      <c r="B1795" s="1" t="s">
        <v>1261</v>
      </c>
      <c r="C1795" s="1" t="s">
        <v>1016</v>
      </c>
      <c r="D1795" s="1">
        <v>4.0</v>
      </c>
      <c r="E1795" s="1" t="s">
        <v>873</v>
      </c>
      <c r="F1795" s="1">
        <v>343758.0</v>
      </c>
    </row>
    <row r="1796">
      <c r="A1796" s="1">
        <v>1795.0</v>
      </c>
      <c r="B1796" s="1" t="s">
        <v>1262</v>
      </c>
      <c r="C1796" s="1" t="s">
        <v>1016</v>
      </c>
      <c r="D1796" s="1">
        <v>4.0</v>
      </c>
      <c r="E1796" s="1" t="s">
        <v>873</v>
      </c>
      <c r="F1796" s="1">
        <v>532302.0</v>
      </c>
    </row>
    <row r="1797">
      <c r="A1797" s="1">
        <v>1796.0</v>
      </c>
      <c r="B1797" s="1" t="s">
        <v>1263</v>
      </c>
      <c r="C1797" s="1" t="s">
        <v>1016</v>
      </c>
      <c r="D1797" s="1">
        <v>4.0</v>
      </c>
      <c r="E1797" s="1" t="s">
        <v>873</v>
      </c>
      <c r="F1797" s="1">
        <v>363669.0</v>
      </c>
    </row>
    <row r="1798">
      <c r="A1798" s="1">
        <v>1797.0</v>
      </c>
      <c r="B1798" s="1" t="s">
        <v>117</v>
      </c>
      <c r="C1798" s="1" t="s">
        <v>1016</v>
      </c>
      <c r="D1798" s="1">
        <v>3.0</v>
      </c>
      <c r="E1798" s="1" t="s">
        <v>873</v>
      </c>
      <c r="F1798" s="1">
        <v>577190.0</v>
      </c>
    </row>
    <row r="1799">
      <c r="A1799" s="1">
        <v>1798.0</v>
      </c>
      <c r="B1799" s="1" t="s">
        <v>1264</v>
      </c>
      <c r="C1799" s="1" t="s">
        <v>1016</v>
      </c>
      <c r="D1799" s="1">
        <v>3.0</v>
      </c>
      <c r="E1799" s="1" t="s">
        <v>873</v>
      </c>
      <c r="F1799" s="1">
        <v>332016.0</v>
      </c>
    </row>
    <row r="1800">
      <c r="A1800" s="1">
        <v>1799.0</v>
      </c>
      <c r="B1800" s="1" t="s">
        <v>1265</v>
      </c>
      <c r="C1800" s="1" t="s">
        <v>1016</v>
      </c>
      <c r="D1800" s="1">
        <v>3.0</v>
      </c>
      <c r="E1800" s="1" t="s">
        <v>873</v>
      </c>
      <c r="F1800" s="1">
        <v>3.0</v>
      </c>
    </row>
    <row r="1801">
      <c r="A1801" s="1">
        <v>1800.0</v>
      </c>
      <c r="B1801" s="1" t="s">
        <v>1266</v>
      </c>
      <c r="C1801" s="1" t="s">
        <v>1016</v>
      </c>
      <c r="D1801" s="1">
        <v>3.0</v>
      </c>
      <c r="E1801" s="1" t="s">
        <v>873</v>
      </c>
      <c r="F1801" s="1">
        <v>26.0</v>
      </c>
    </row>
    <row r="1802">
      <c r="A1802" s="1">
        <v>1801.0</v>
      </c>
      <c r="B1802" s="1" t="s">
        <v>1267</v>
      </c>
      <c r="C1802" s="1" t="s">
        <v>1016</v>
      </c>
      <c r="D1802" s="1">
        <v>3.0</v>
      </c>
      <c r="E1802" s="1" t="s">
        <v>873</v>
      </c>
      <c r="F1802" s="1">
        <v>602739.0</v>
      </c>
    </row>
    <row r="1803">
      <c r="A1803" s="1">
        <v>1802.0</v>
      </c>
      <c r="B1803" s="1" t="s">
        <v>129</v>
      </c>
      <c r="C1803" s="1" t="s">
        <v>1016</v>
      </c>
      <c r="D1803" s="1">
        <v>3.0</v>
      </c>
      <c r="E1803" s="1" t="s">
        <v>873</v>
      </c>
      <c r="F1803" s="1">
        <v>582124.0</v>
      </c>
    </row>
    <row r="1804">
      <c r="A1804" s="1">
        <v>1803.0</v>
      </c>
      <c r="B1804" s="1" t="s">
        <v>192</v>
      </c>
      <c r="C1804" s="1" t="s">
        <v>1016</v>
      </c>
      <c r="D1804" s="1">
        <v>3.0</v>
      </c>
      <c r="E1804" s="1" t="s">
        <v>873</v>
      </c>
      <c r="F1804" s="1">
        <v>16789.0</v>
      </c>
    </row>
    <row r="1805">
      <c r="A1805" s="1">
        <v>1804.0</v>
      </c>
      <c r="B1805" s="1" t="s">
        <v>1268</v>
      </c>
      <c r="C1805" s="1" t="s">
        <v>1016</v>
      </c>
      <c r="D1805" s="1">
        <v>3.0</v>
      </c>
      <c r="E1805" s="1" t="s">
        <v>873</v>
      </c>
      <c r="F1805" s="1">
        <v>760403.0</v>
      </c>
    </row>
    <row r="1806">
      <c r="A1806" s="1">
        <v>1805.0</v>
      </c>
      <c r="B1806" s="1" t="s">
        <v>112</v>
      </c>
      <c r="C1806" s="1" t="s">
        <v>1016</v>
      </c>
      <c r="D1806" s="1">
        <v>3.0</v>
      </c>
      <c r="E1806" s="1" t="s">
        <v>873</v>
      </c>
      <c r="F1806" s="1">
        <v>80616.0</v>
      </c>
    </row>
    <row r="1807">
      <c r="A1807" s="1">
        <v>1806.0</v>
      </c>
      <c r="B1807" s="1" t="s">
        <v>1269</v>
      </c>
      <c r="C1807" s="1" t="s">
        <v>1016</v>
      </c>
      <c r="D1807" s="1">
        <v>3.0</v>
      </c>
      <c r="E1807" s="1" t="s">
        <v>873</v>
      </c>
      <c r="F1807" s="1">
        <v>61899.0</v>
      </c>
    </row>
    <row r="1808">
      <c r="A1808" s="1">
        <v>1807.0</v>
      </c>
      <c r="B1808" s="1" t="s">
        <v>907</v>
      </c>
      <c r="C1808" s="1" t="s">
        <v>1016</v>
      </c>
      <c r="D1808" s="1">
        <v>3.0</v>
      </c>
      <c r="E1808" s="1" t="s">
        <v>873</v>
      </c>
      <c r="F1808" s="1">
        <v>47054.0</v>
      </c>
    </row>
    <row r="1809">
      <c r="A1809" s="1">
        <v>1808.0</v>
      </c>
      <c r="B1809" s="1" t="s">
        <v>1270</v>
      </c>
      <c r="C1809" s="1" t="s">
        <v>1016</v>
      </c>
      <c r="D1809" s="1">
        <v>3.0</v>
      </c>
      <c r="E1809" s="1" t="s">
        <v>873</v>
      </c>
      <c r="F1809" s="1">
        <v>91.0</v>
      </c>
    </row>
    <row r="1810">
      <c r="A1810" s="1">
        <v>1809.0</v>
      </c>
      <c r="B1810" s="1" t="s">
        <v>1271</v>
      </c>
      <c r="C1810" s="1" t="s">
        <v>1016</v>
      </c>
      <c r="D1810" s="1">
        <v>3.0</v>
      </c>
      <c r="E1810" s="1" t="s">
        <v>873</v>
      </c>
      <c r="F1810" s="1">
        <v>369128.0</v>
      </c>
    </row>
    <row r="1811">
      <c r="A1811" s="1">
        <v>1810.0</v>
      </c>
      <c r="B1811" s="1" t="s">
        <v>1272</v>
      </c>
      <c r="C1811" s="1" t="s">
        <v>1016</v>
      </c>
      <c r="D1811" s="1">
        <v>3.0</v>
      </c>
      <c r="E1811" s="1" t="s">
        <v>873</v>
      </c>
      <c r="F1811" s="1">
        <v>257972.0</v>
      </c>
    </row>
    <row r="1812">
      <c r="A1812" s="1">
        <v>1811.0</v>
      </c>
      <c r="B1812" s="1" t="s">
        <v>892</v>
      </c>
      <c r="C1812" s="1" t="s">
        <v>1016</v>
      </c>
      <c r="D1812" s="1">
        <v>3.0</v>
      </c>
      <c r="E1812" s="1" t="s">
        <v>873</v>
      </c>
      <c r="F1812" s="1">
        <v>1087991.0</v>
      </c>
    </row>
    <row r="1813">
      <c r="A1813" s="1">
        <v>1812.0</v>
      </c>
      <c r="B1813" s="1" t="s">
        <v>1273</v>
      </c>
      <c r="C1813" s="1" t="s">
        <v>1016</v>
      </c>
      <c r="D1813" s="1">
        <v>3.0</v>
      </c>
      <c r="E1813" s="1" t="s">
        <v>873</v>
      </c>
      <c r="F1813" s="1">
        <v>878372.0</v>
      </c>
    </row>
    <row r="1814">
      <c r="A1814" s="1">
        <v>1813.0</v>
      </c>
      <c r="B1814" s="1" t="s">
        <v>1274</v>
      </c>
      <c r="C1814" s="1" t="s">
        <v>1016</v>
      </c>
      <c r="D1814" s="1">
        <v>3.0</v>
      </c>
      <c r="E1814" s="1" t="s">
        <v>873</v>
      </c>
      <c r="F1814" s="1">
        <v>28507.0</v>
      </c>
    </row>
    <row r="1815">
      <c r="A1815" s="1">
        <v>1814.0</v>
      </c>
      <c r="B1815" s="1" t="s">
        <v>1275</v>
      </c>
      <c r="C1815" s="1" t="s">
        <v>1016</v>
      </c>
      <c r="D1815" s="1">
        <v>3.0</v>
      </c>
      <c r="E1815" s="1" t="s">
        <v>873</v>
      </c>
      <c r="F1815" s="1">
        <v>335520.0</v>
      </c>
    </row>
    <row r="1816">
      <c r="A1816" s="1">
        <v>1815.0</v>
      </c>
      <c r="B1816" s="1" t="s">
        <v>881</v>
      </c>
      <c r="C1816" s="1" t="s">
        <v>1016</v>
      </c>
      <c r="D1816" s="1">
        <v>3.0</v>
      </c>
      <c r="E1816" s="1" t="s">
        <v>873</v>
      </c>
      <c r="F1816" s="1">
        <v>432100.0</v>
      </c>
    </row>
    <row r="1817">
      <c r="A1817" s="1">
        <v>1816.0</v>
      </c>
      <c r="B1817" s="1" t="s">
        <v>1276</v>
      </c>
      <c r="C1817" s="1" t="s">
        <v>1016</v>
      </c>
      <c r="D1817" s="1">
        <v>3.0</v>
      </c>
      <c r="E1817" s="1" t="s">
        <v>873</v>
      </c>
      <c r="F1817" s="1">
        <v>275453.0</v>
      </c>
    </row>
    <row r="1818">
      <c r="A1818" s="1">
        <v>1817.0</v>
      </c>
      <c r="B1818" s="1" t="s">
        <v>1277</v>
      </c>
      <c r="C1818" s="1" t="s">
        <v>1016</v>
      </c>
      <c r="D1818" s="1">
        <v>3.0</v>
      </c>
      <c r="E1818" s="1" t="s">
        <v>873</v>
      </c>
      <c r="F1818" s="1">
        <v>880573.0</v>
      </c>
    </row>
    <row r="1819">
      <c r="A1819" s="1">
        <v>1818.0</v>
      </c>
      <c r="B1819" s="1" t="s">
        <v>1278</v>
      </c>
      <c r="C1819" s="1" t="s">
        <v>1016</v>
      </c>
      <c r="D1819" s="1">
        <v>3.0</v>
      </c>
      <c r="E1819" s="1" t="s">
        <v>873</v>
      </c>
      <c r="F1819" s="1">
        <v>80.0</v>
      </c>
    </row>
    <row r="1820">
      <c r="A1820" s="1">
        <v>1819.0</v>
      </c>
      <c r="B1820" s="1" t="s">
        <v>1279</v>
      </c>
      <c r="C1820" s="1" t="s">
        <v>1016</v>
      </c>
      <c r="D1820" s="1">
        <v>3.0</v>
      </c>
      <c r="E1820" s="1" t="s">
        <v>873</v>
      </c>
      <c r="F1820" s="1">
        <v>1640740.0</v>
      </c>
    </row>
    <row r="1821">
      <c r="A1821" s="1">
        <v>1820.0</v>
      </c>
      <c r="B1821" s="1" t="s">
        <v>1280</v>
      </c>
      <c r="C1821" s="1" t="s">
        <v>1016</v>
      </c>
      <c r="D1821" s="1">
        <v>3.0</v>
      </c>
      <c r="E1821" s="1" t="s">
        <v>873</v>
      </c>
      <c r="F1821" s="1">
        <v>75.0</v>
      </c>
    </row>
    <row r="1822">
      <c r="A1822" s="1">
        <v>1821.0</v>
      </c>
      <c r="B1822" s="1" t="s">
        <v>1281</v>
      </c>
      <c r="C1822" s="1" t="s">
        <v>1016</v>
      </c>
      <c r="D1822" s="1">
        <v>3.0</v>
      </c>
      <c r="E1822" s="1" t="s">
        <v>873</v>
      </c>
      <c r="F1822" s="1">
        <v>40552.0</v>
      </c>
    </row>
    <row r="1823">
      <c r="A1823" s="1">
        <v>1822.0</v>
      </c>
      <c r="B1823" s="1" t="s">
        <v>238</v>
      </c>
      <c r="C1823" s="1" t="s">
        <v>1016</v>
      </c>
      <c r="D1823" s="1">
        <v>3.0</v>
      </c>
      <c r="E1823" s="1" t="s">
        <v>873</v>
      </c>
      <c r="F1823" s="1">
        <v>299998.0</v>
      </c>
    </row>
    <row r="1824">
      <c r="A1824" s="1">
        <v>1823.0</v>
      </c>
      <c r="B1824" s="1" t="s">
        <v>1282</v>
      </c>
      <c r="C1824" s="1" t="s">
        <v>1016</v>
      </c>
      <c r="D1824" s="1">
        <v>3.0</v>
      </c>
      <c r="E1824" s="1" t="s">
        <v>873</v>
      </c>
      <c r="F1824" s="1">
        <v>28233.0</v>
      </c>
    </row>
    <row r="1825">
      <c r="A1825" s="1">
        <v>1824.0</v>
      </c>
      <c r="B1825" s="1" t="s">
        <v>1283</v>
      </c>
      <c r="C1825" s="1" t="s">
        <v>1016</v>
      </c>
      <c r="D1825" s="1">
        <v>3.0</v>
      </c>
      <c r="E1825" s="1" t="s">
        <v>873</v>
      </c>
      <c r="F1825" s="1">
        <v>544512.0</v>
      </c>
    </row>
    <row r="1826">
      <c r="A1826" s="1">
        <v>1825.0</v>
      </c>
      <c r="B1826" s="1" t="s">
        <v>1284</v>
      </c>
      <c r="C1826" s="1" t="s">
        <v>1016</v>
      </c>
      <c r="D1826" s="1">
        <v>3.0</v>
      </c>
      <c r="E1826" s="1" t="s">
        <v>873</v>
      </c>
      <c r="F1826" s="1">
        <v>406845.0</v>
      </c>
    </row>
    <row r="1827">
      <c r="A1827" s="1">
        <v>1826.0</v>
      </c>
      <c r="B1827" s="1" t="s">
        <v>40</v>
      </c>
      <c r="C1827" s="1" t="s">
        <v>1016</v>
      </c>
      <c r="D1827" s="1">
        <v>3.0</v>
      </c>
      <c r="E1827" s="1" t="s">
        <v>873</v>
      </c>
      <c r="F1827" s="1">
        <v>811344.0</v>
      </c>
    </row>
    <row r="1828">
      <c r="A1828" s="1">
        <v>1827.0</v>
      </c>
      <c r="B1828" s="1" t="s">
        <v>176</v>
      </c>
      <c r="C1828" s="1" t="s">
        <v>1016</v>
      </c>
      <c r="D1828" s="1">
        <v>3.0</v>
      </c>
      <c r="E1828" s="1" t="s">
        <v>873</v>
      </c>
      <c r="F1828" s="1">
        <v>34532.0</v>
      </c>
    </row>
    <row r="1829">
      <c r="A1829" s="1">
        <v>1828.0</v>
      </c>
      <c r="B1829" s="1" t="s">
        <v>1285</v>
      </c>
      <c r="C1829" s="1" t="s">
        <v>1016</v>
      </c>
      <c r="D1829" s="1">
        <v>3.0</v>
      </c>
      <c r="E1829" s="1" t="s">
        <v>873</v>
      </c>
      <c r="F1829" s="1">
        <v>559952.0</v>
      </c>
    </row>
    <row r="1830">
      <c r="A1830" s="1">
        <v>1829.0</v>
      </c>
      <c r="B1830" s="1" t="s">
        <v>176</v>
      </c>
      <c r="C1830" s="1" t="s">
        <v>1016</v>
      </c>
      <c r="D1830" s="1">
        <v>3.0</v>
      </c>
      <c r="E1830" s="1" t="s">
        <v>873</v>
      </c>
      <c r="F1830" s="1">
        <v>178.0</v>
      </c>
    </row>
    <row r="1831">
      <c r="A1831" s="1">
        <v>1830.0</v>
      </c>
      <c r="B1831" s="1" t="s">
        <v>31</v>
      </c>
      <c r="C1831" s="1" t="s">
        <v>1016</v>
      </c>
      <c r="D1831" s="1">
        <v>2.0</v>
      </c>
      <c r="E1831" s="1" t="s">
        <v>873</v>
      </c>
      <c r="F1831" s="1">
        <v>744945.0</v>
      </c>
    </row>
    <row r="1832">
      <c r="A1832" s="1">
        <v>1831.0</v>
      </c>
      <c r="B1832" s="1" t="s">
        <v>63</v>
      </c>
      <c r="C1832" s="1" t="s">
        <v>1016</v>
      </c>
      <c r="D1832" s="1">
        <v>2.0</v>
      </c>
      <c r="E1832" s="1" t="s">
        <v>873</v>
      </c>
      <c r="F1832" s="1">
        <v>784769.0</v>
      </c>
    </row>
    <row r="1833">
      <c r="A1833" s="1">
        <v>1832.0</v>
      </c>
      <c r="B1833" s="1" t="s">
        <v>1286</v>
      </c>
      <c r="C1833" s="1" t="s">
        <v>1016</v>
      </c>
      <c r="D1833" s="1">
        <v>2.0</v>
      </c>
      <c r="E1833" s="1" t="s">
        <v>873</v>
      </c>
      <c r="F1833" s="1">
        <v>1239375.0</v>
      </c>
    </row>
    <row r="1834">
      <c r="A1834" s="1">
        <v>1833.0</v>
      </c>
      <c r="B1834" s="1" t="s">
        <v>530</v>
      </c>
      <c r="C1834" s="1" t="s">
        <v>1016</v>
      </c>
      <c r="D1834" s="1">
        <v>2.0</v>
      </c>
      <c r="E1834" s="1" t="s">
        <v>873</v>
      </c>
      <c r="F1834" s="1">
        <v>57107.0</v>
      </c>
    </row>
    <row r="1835">
      <c r="A1835" s="1">
        <v>1834.0</v>
      </c>
      <c r="B1835" s="1" t="s">
        <v>897</v>
      </c>
      <c r="C1835" s="1" t="s">
        <v>1016</v>
      </c>
      <c r="D1835" s="1">
        <v>2.0</v>
      </c>
      <c r="E1835" s="1" t="s">
        <v>873</v>
      </c>
      <c r="F1835" s="1">
        <v>25417.0</v>
      </c>
    </row>
    <row r="1836">
      <c r="A1836" s="1">
        <v>1835.0</v>
      </c>
      <c r="B1836" s="1" t="s">
        <v>1287</v>
      </c>
      <c r="C1836" s="1" t="s">
        <v>1016</v>
      </c>
      <c r="D1836" s="1">
        <v>2.0</v>
      </c>
      <c r="E1836" s="1" t="s">
        <v>873</v>
      </c>
      <c r="F1836" s="1">
        <v>34370.0</v>
      </c>
    </row>
    <row r="1837">
      <c r="A1837" s="1">
        <v>1836.0</v>
      </c>
      <c r="B1837" s="1" t="s">
        <v>860</v>
      </c>
      <c r="C1837" s="1" t="s">
        <v>1016</v>
      </c>
      <c r="D1837" s="1">
        <v>2.0</v>
      </c>
      <c r="E1837" s="1" t="s">
        <v>873</v>
      </c>
      <c r="F1837" s="1">
        <v>81910.0</v>
      </c>
    </row>
    <row r="1838">
      <c r="A1838" s="1">
        <v>1837.0</v>
      </c>
      <c r="B1838" s="1" t="s">
        <v>1288</v>
      </c>
      <c r="C1838" s="1" t="s">
        <v>1016</v>
      </c>
      <c r="D1838" s="1">
        <v>2.0</v>
      </c>
      <c r="E1838" s="1" t="s">
        <v>873</v>
      </c>
      <c r="F1838" s="1">
        <v>10653.0</v>
      </c>
    </row>
    <row r="1839">
      <c r="A1839" s="1">
        <v>1838.0</v>
      </c>
      <c r="B1839" s="1" t="s">
        <v>581</v>
      </c>
      <c r="C1839" s="1" t="s">
        <v>1016</v>
      </c>
      <c r="D1839" s="1">
        <v>2.0</v>
      </c>
      <c r="E1839" s="1" t="s">
        <v>873</v>
      </c>
      <c r="F1839" s="1">
        <v>619354.0</v>
      </c>
    </row>
    <row r="1840">
      <c r="A1840" s="1">
        <v>1839.0</v>
      </c>
      <c r="B1840" s="1" t="s">
        <v>1289</v>
      </c>
      <c r="C1840" s="1" t="s">
        <v>1016</v>
      </c>
      <c r="D1840" s="1">
        <v>2.0</v>
      </c>
      <c r="E1840" s="1" t="s">
        <v>873</v>
      </c>
      <c r="F1840" s="1">
        <v>27035.0</v>
      </c>
    </row>
    <row r="1841">
      <c r="A1841" s="1">
        <v>1840.0</v>
      </c>
      <c r="B1841" s="1" t="s">
        <v>1290</v>
      </c>
      <c r="C1841" s="1" t="s">
        <v>1016</v>
      </c>
      <c r="D1841" s="1">
        <v>2.0</v>
      </c>
      <c r="E1841" s="1" t="s">
        <v>873</v>
      </c>
      <c r="F1841" s="1">
        <v>705817.0</v>
      </c>
    </row>
    <row r="1842">
      <c r="A1842" s="1">
        <v>1841.0</v>
      </c>
      <c r="B1842" s="1" t="s">
        <v>1291</v>
      </c>
      <c r="C1842" s="1" t="s">
        <v>1016</v>
      </c>
      <c r="D1842" s="1">
        <v>2.0</v>
      </c>
      <c r="E1842" s="1" t="s">
        <v>873</v>
      </c>
      <c r="F1842" s="1">
        <v>551148.0</v>
      </c>
    </row>
    <row r="1843">
      <c r="A1843" s="1">
        <v>1842.0</v>
      </c>
      <c r="B1843" s="1" t="s">
        <v>902</v>
      </c>
      <c r="C1843" s="1" t="s">
        <v>1016</v>
      </c>
      <c r="D1843" s="1">
        <v>2.0</v>
      </c>
      <c r="E1843" s="1" t="s">
        <v>873</v>
      </c>
      <c r="F1843" s="1">
        <v>1471807.0</v>
      </c>
    </row>
    <row r="1844">
      <c r="A1844" s="1">
        <v>1843.0</v>
      </c>
      <c r="B1844" s="1" t="s">
        <v>1292</v>
      </c>
      <c r="C1844" s="1" t="s">
        <v>1016</v>
      </c>
      <c r="D1844" s="1">
        <v>2.0</v>
      </c>
      <c r="E1844" s="1" t="s">
        <v>873</v>
      </c>
      <c r="F1844" s="1">
        <v>282369.0</v>
      </c>
    </row>
    <row r="1845">
      <c r="A1845" s="1">
        <v>1844.0</v>
      </c>
      <c r="B1845" s="1" t="s">
        <v>1293</v>
      </c>
      <c r="C1845" s="1" t="s">
        <v>1016</v>
      </c>
      <c r="D1845" s="1">
        <v>2.0</v>
      </c>
      <c r="E1845" s="1" t="s">
        <v>873</v>
      </c>
      <c r="F1845" s="1">
        <v>563136.0</v>
      </c>
    </row>
    <row r="1846">
      <c r="A1846" s="1">
        <v>1845.0</v>
      </c>
      <c r="B1846" s="1" t="s">
        <v>1294</v>
      </c>
      <c r="C1846" s="1" t="s">
        <v>1016</v>
      </c>
      <c r="D1846" s="1">
        <v>2.0</v>
      </c>
      <c r="E1846" s="1" t="s">
        <v>873</v>
      </c>
      <c r="F1846" s="1">
        <v>22274.0</v>
      </c>
    </row>
    <row r="1847">
      <c r="A1847" s="1">
        <v>1846.0</v>
      </c>
      <c r="B1847" s="1" t="s">
        <v>1295</v>
      </c>
      <c r="C1847" s="1" t="s">
        <v>1016</v>
      </c>
      <c r="D1847" s="1">
        <v>2.0</v>
      </c>
      <c r="E1847" s="1" t="s">
        <v>873</v>
      </c>
      <c r="F1847" s="1">
        <v>59604.0</v>
      </c>
    </row>
    <row r="1848">
      <c r="A1848" s="1">
        <v>1847.0</v>
      </c>
      <c r="B1848" s="1" t="s">
        <v>666</v>
      </c>
      <c r="C1848" s="1" t="s">
        <v>1016</v>
      </c>
      <c r="D1848" s="1">
        <v>2.0</v>
      </c>
      <c r="E1848" s="1" t="s">
        <v>873</v>
      </c>
      <c r="F1848" s="1">
        <v>69495.0</v>
      </c>
    </row>
    <row r="1849">
      <c r="A1849" s="1">
        <v>1848.0</v>
      </c>
      <c r="B1849" s="1" t="s">
        <v>9</v>
      </c>
      <c r="C1849" s="1" t="s">
        <v>1016</v>
      </c>
      <c r="D1849" s="1">
        <v>2.0</v>
      </c>
      <c r="E1849" s="1" t="s">
        <v>873</v>
      </c>
      <c r="F1849" s="1">
        <v>33957.0</v>
      </c>
    </row>
    <row r="1850">
      <c r="A1850" s="1">
        <v>1849.0</v>
      </c>
      <c r="B1850" s="1" t="s">
        <v>1296</v>
      </c>
      <c r="C1850" s="1" t="s">
        <v>1016</v>
      </c>
      <c r="D1850" s="1">
        <v>2.0</v>
      </c>
      <c r="E1850" s="1" t="s">
        <v>873</v>
      </c>
      <c r="F1850" s="1">
        <v>314698.0</v>
      </c>
    </row>
    <row r="1851">
      <c r="A1851" s="1">
        <v>1850.0</v>
      </c>
      <c r="B1851" s="1" t="s">
        <v>1297</v>
      </c>
      <c r="C1851" s="1" t="s">
        <v>1016</v>
      </c>
      <c r="D1851" s="1">
        <v>2.0</v>
      </c>
      <c r="E1851" s="1" t="s">
        <v>873</v>
      </c>
      <c r="F1851" s="1">
        <v>18335.0</v>
      </c>
    </row>
    <row r="1852">
      <c r="A1852" s="1">
        <v>1851.0</v>
      </c>
      <c r="B1852" s="1" t="s">
        <v>1298</v>
      </c>
      <c r="C1852" s="1" t="s">
        <v>1016</v>
      </c>
      <c r="D1852" s="1">
        <v>2.0</v>
      </c>
      <c r="E1852" s="1" t="s">
        <v>873</v>
      </c>
      <c r="F1852" s="1">
        <v>20811.0</v>
      </c>
    </row>
    <row r="1853">
      <c r="A1853" s="1">
        <v>1852.0</v>
      </c>
      <c r="B1853" s="1" t="s">
        <v>1299</v>
      </c>
      <c r="C1853" s="1" t="s">
        <v>1016</v>
      </c>
      <c r="D1853" s="1">
        <v>2.0</v>
      </c>
      <c r="E1853" s="1" t="s">
        <v>873</v>
      </c>
      <c r="F1853" s="1">
        <v>30846.0</v>
      </c>
    </row>
    <row r="1854">
      <c r="A1854" s="1">
        <v>1853.0</v>
      </c>
      <c r="B1854" s="1" t="s">
        <v>1300</v>
      </c>
      <c r="C1854" s="1" t="s">
        <v>1016</v>
      </c>
      <c r="D1854" s="1">
        <v>2.0</v>
      </c>
      <c r="E1854" s="1" t="s">
        <v>873</v>
      </c>
      <c r="F1854" s="1">
        <v>591053.0</v>
      </c>
    </row>
    <row r="1855">
      <c r="A1855" s="1">
        <v>1854.0</v>
      </c>
      <c r="B1855" s="1" t="s">
        <v>1301</v>
      </c>
      <c r="C1855" s="1" t="s">
        <v>1016</v>
      </c>
      <c r="D1855" s="1">
        <v>2.0</v>
      </c>
      <c r="E1855" s="1" t="s">
        <v>873</v>
      </c>
      <c r="F1855" s="1">
        <v>198811.0</v>
      </c>
    </row>
    <row r="1856">
      <c r="A1856" s="1">
        <v>1855.0</v>
      </c>
      <c r="B1856" s="1" t="s">
        <v>1277</v>
      </c>
      <c r="C1856" s="1" t="s">
        <v>1016</v>
      </c>
      <c r="D1856" s="1">
        <v>2.0</v>
      </c>
      <c r="E1856" s="1" t="s">
        <v>873</v>
      </c>
      <c r="F1856" s="1">
        <v>26158.0</v>
      </c>
    </row>
    <row r="1857">
      <c r="A1857" s="1">
        <v>1856.0</v>
      </c>
      <c r="B1857" s="1" t="s">
        <v>1302</v>
      </c>
      <c r="C1857" s="1" t="s">
        <v>1016</v>
      </c>
      <c r="D1857" s="1">
        <v>2.0</v>
      </c>
      <c r="E1857" s="1" t="s">
        <v>873</v>
      </c>
      <c r="F1857" s="1">
        <v>27805.0</v>
      </c>
    </row>
    <row r="1858">
      <c r="A1858" s="1">
        <v>1857.0</v>
      </c>
      <c r="B1858" s="1" t="s">
        <v>1303</v>
      </c>
      <c r="C1858" s="1" t="s">
        <v>1016</v>
      </c>
      <c r="D1858" s="1">
        <v>2.0</v>
      </c>
      <c r="E1858" s="1" t="s">
        <v>873</v>
      </c>
      <c r="F1858" s="1">
        <v>601343.0</v>
      </c>
    </row>
    <row r="1859">
      <c r="A1859" s="1">
        <v>1858.0</v>
      </c>
      <c r="B1859" s="1" t="s">
        <v>1304</v>
      </c>
      <c r="C1859" s="1" t="s">
        <v>1016</v>
      </c>
      <c r="D1859" s="1">
        <v>2.0</v>
      </c>
      <c r="E1859" s="1" t="s">
        <v>873</v>
      </c>
      <c r="F1859" s="1">
        <v>33111.0</v>
      </c>
    </row>
    <row r="1860">
      <c r="A1860" s="1">
        <v>1859.0</v>
      </c>
      <c r="B1860" s="1" t="s">
        <v>1084</v>
      </c>
      <c r="C1860" s="1" t="s">
        <v>1016</v>
      </c>
      <c r="D1860" s="1">
        <v>2.0</v>
      </c>
      <c r="E1860" s="1" t="s">
        <v>873</v>
      </c>
      <c r="F1860" s="1">
        <v>419449.0</v>
      </c>
    </row>
    <row r="1861">
      <c r="A1861" s="1">
        <v>1860.0</v>
      </c>
      <c r="B1861" s="1" t="s">
        <v>1305</v>
      </c>
      <c r="C1861" s="1" t="s">
        <v>1016</v>
      </c>
      <c r="D1861" s="1">
        <v>2.0</v>
      </c>
      <c r="E1861" s="1" t="s">
        <v>873</v>
      </c>
      <c r="F1861" s="1">
        <v>668202.0</v>
      </c>
    </row>
    <row r="1862">
      <c r="A1862" s="1">
        <v>1861.0</v>
      </c>
      <c r="B1862" s="1" t="s">
        <v>1306</v>
      </c>
      <c r="C1862" s="1" t="s">
        <v>1016</v>
      </c>
      <c r="D1862" s="1">
        <v>2.0</v>
      </c>
      <c r="E1862" s="1" t="s">
        <v>873</v>
      </c>
      <c r="F1862" s="1">
        <v>982427.0</v>
      </c>
    </row>
    <row r="1863">
      <c r="A1863" s="1">
        <v>1862.0</v>
      </c>
      <c r="B1863" s="1" t="s">
        <v>923</v>
      </c>
      <c r="C1863" s="1" t="s">
        <v>1016</v>
      </c>
      <c r="D1863" s="1">
        <v>2.0</v>
      </c>
      <c r="E1863" s="1" t="s">
        <v>873</v>
      </c>
      <c r="F1863" s="1">
        <v>21088.0</v>
      </c>
    </row>
    <row r="1864">
      <c r="A1864" s="1">
        <v>1863.0</v>
      </c>
      <c r="B1864" s="1" t="s">
        <v>1307</v>
      </c>
      <c r="C1864" s="1" t="s">
        <v>1016</v>
      </c>
      <c r="D1864" s="1">
        <v>2.0</v>
      </c>
      <c r="E1864" s="1" t="s">
        <v>873</v>
      </c>
      <c r="F1864" s="1">
        <v>508899.0</v>
      </c>
    </row>
    <row r="1865">
      <c r="A1865" s="1">
        <v>1864.0</v>
      </c>
      <c r="B1865" s="1" t="s">
        <v>125</v>
      </c>
      <c r="C1865" s="1" t="s">
        <v>1016</v>
      </c>
      <c r="D1865" s="1">
        <v>2.0</v>
      </c>
      <c r="E1865" s="1" t="s">
        <v>873</v>
      </c>
      <c r="F1865" s="1">
        <v>701723.0</v>
      </c>
    </row>
    <row r="1866">
      <c r="A1866" s="1">
        <v>1865.0</v>
      </c>
      <c r="B1866" s="1" t="s">
        <v>1308</v>
      </c>
      <c r="C1866" s="1" t="s">
        <v>1016</v>
      </c>
      <c r="D1866" s="1">
        <v>2.0</v>
      </c>
      <c r="E1866" s="1" t="s">
        <v>873</v>
      </c>
      <c r="F1866" s="1">
        <v>22537.0</v>
      </c>
    </row>
    <row r="1867">
      <c r="A1867" s="1">
        <v>1866.0</v>
      </c>
      <c r="B1867" s="1" t="s">
        <v>1309</v>
      </c>
      <c r="C1867" s="1" t="s">
        <v>1016</v>
      </c>
      <c r="D1867" s="1">
        <v>2.0</v>
      </c>
      <c r="E1867" s="1" t="s">
        <v>873</v>
      </c>
      <c r="F1867" s="1">
        <v>646107.0</v>
      </c>
    </row>
    <row r="1868">
      <c r="A1868" s="1">
        <v>1867.0</v>
      </c>
      <c r="B1868" s="1" t="s">
        <v>1310</v>
      </c>
      <c r="C1868" s="1" t="s">
        <v>1016</v>
      </c>
      <c r="D1868" s="1">
        <v>2.0</v>
      </c>
      <c r="E1868" s="1" t="s">
        <v>873</v>
      </c>
      <c r="F1868" s="1">
        <v>649352.0</v>
      </c>
    </row>
    <row r="1869">
      <c r="A1869" s="1">
        <v>1868.0</v>
      </c>
      <c r="B1869" s="1" t="s">
        <v>929</v>
      </c>
      <c r="C1869" s="1" t="s">
        <v>1016</v>
      </c>
      <c r="D1869" s="1">
        <v>2.0</v>
      </c>
      <c r="E1869" s="1" t="s">
        <v>873</v>
      </c>
      <c r="F1869" s="1">
        <v>3084.0</v>
      </c>
    </row>
    <row r="1870">
      <c r="A1870" s="1">
        <v>1869.0</v>
      </c>
      <c r="B1870" s="1" t="s">
        <v>943</v>
      </c>
      <c r="C1870" s="1" t="s">
        <v>1016</v>
      </c>
      <c r="D1870" s="1">
        <v>2.0</v>
      </c>
      <c r="E1870" s="1" t="s">
        <v>873</v>
      </c>
      <c r="F1870" s="1">
        <v>608075.0</v>
      </c>
    </row>
    <row r="1871">
      <c r="A1871" s="1">
        <v>1870.0</v>
      </c>
      <c r="B1871" s="1" t="s">
        <v>1311</v>
      </c>
      <c r="C1871" s="1" t="s">
        <v>1016</v>
      </c>
      <c r="D1871" s="1">
        <v>2.0</v>
      </c>
      <c r="E1871" s="1" t="s">
        <v>873</v>
      </c>
      <c r="F1871" s="1">
        <v>704851.0</v>
      </c>
    </row>
    <row r="1872">
      <c r="A1872" s="1">
        <v>1871.0</v>
      </c>
      <c r="B1872" s="1" t="s">
        <v>1312</v>
      </c>
      <c r="C1872" s="1" t="s">
        <v>1016</v>
      </c>
      <c r="D1872" s="1">
        <v>2.0</v>
      </c>
      <c r="E1872" s="1" t="s">
        <v>873</v>
      </c>
      <c r="F1872" s="1">
        <v>382929.0</v>
      </c>
    </row>
    <row r="1873">
      <c r="A1873" s="1">
        <v>1872.0</v>
      </c>
      <c r="B1873" s="1" t="s">
        <v>1313</v>
      </c>
      <c r="C1873" s="1" t="s">
        <v>1016</v>
      </c>
      <c r="D1873" s="1">
        <v>2.0</v>
      </c>
      <c r="E1873" s="1" t="s">
        <v>873</v>
      </c>
      <c r="F1873" s="1">
        <v>383619.0</v>
      </c>
    </row>
    <row r="1874">
      <c r="A1874" s="1">
        <v>1873.0</v>
      </c>
      <c r="B1874" s="1" t="s">
        <v>1314</v>
      </c>
      <c r="C1874" s="1" t="s">
        <v>1016</v>
      </c>
      <c r="D1874" s="1">
        <v>2.0</v>
      </c>
      <c r="E1874" s="1" t="s">
        <v>873</v>
      </c>
      <c r="F1874" s="1">
        <v>49857.0</v>
      </c>
    </row>
    <row r="1875">
      <c r="A1875" s="1">
        <v>1874.0</v>
      </c>
      <c r="B1875" s="1" t="s">
        <v>1315</v>
      </c>
      <c r="C1875" s="1" t="s">
        <v>1016</v>
      </c>
      <c r="D1875" s="1">
        <v>2.0</v>
      </c>
      <c r="E1875" s="1" t="s">
        <v>873</v>
      </c>
      <c r="F1875" s="1">
        <v>585819.0</v>
      </c>
    </row>
    <row r="1876">
      <c r="A1876" s="1">
        <v>1875.0</v>
      </c>
      <c r="B1876" s="1" t="s">
        <v>9</v>
      </c>
      <c r="C1876" s="1" t="s">
        <v>1016</v>
      </c>
      <c r="D1876" s="1">
        <v>36.0</v>
      </c>
      <c r="E1876" s="1" t="s">
        <v>945</v>
      </c>
      <c r="F1876" s="1">
        <v>479071.0</v>
      </c>
    </row>
    <row r="1877">
      <c r="A1877" s="1">
        <v>1876.0</v>
      </c>
      <c r="B1877" s="1" t="s">
        <v>664</v>
      </c>
      <c r="C1877" s="1" t="s">
        <v>1016</v>
      </c>
      <c r="D1877" s="1">
        <v>26.0</v>
      </c>
      <c r="E1877" s="1" t="s">
        <v>945</v>
      </c>
      <c r="F1877" s="1">
        <v>226724.0</v>
      </c>
    </row>
    <row r="1878">
      <c r="A1878" s="1">
        <v>1877.0</v>
      </c>
      <c r="B1878" s="1" t="s">
        <v>11</v>
      </c>
      <c r="C1878" s="1" t="s">
        <v>1016</v>
      </c>
      <c r="D1878" s="1">
        <v>23.0</v>
      </c>
      <c r="E1878" s="1" t="s">
        <v>945</v>
      </c>
      <c r="F1878" s="1">
        <v>46.0</v>
      </c>
    </row>
    <row r="1879">
      <c r="A1879" s="1">
        <v>1878.0</v>
      </c>
      <c r="B1879" s="1" t="s">
        <v>955</v>
      </c>
      <c r="C1879" s="1" t="s">
        <v>1016</v>
      </c>
      <c r="D1879" s="1">
        <v>22.0</v>
      </c>
      <c r="E1879" s="1" t="s">
        <v>945</v>
      </c>
      <c r="F1879" s="1">
        <v>364638.0</v>
      </c>
    </row>
    <row r="1880">
      <c r="A1880" s="1">
        <v>1879.0</v>
      </c>
      <c r="B1880" s="1" t="s">
        <v>16</v>
      </c>
      <c r="C1880" s="1" t="s">
        <v>1016</v>
      </c>
      <c r="D1880" s="1">
        <v>17.0</v>
      </c>
      <c r="E1880" s="1" t="s">
        <v>945</v>
      </c>
      <c r="F1880" s="1">
        <v>574259.0</v>
      </c>
    </row>
    <row r="1881">
      <c r="A1881" s="1">
        <v>1880.0</v>
      </c>
      <c r="B1881" s="1" t="s">
        <v>33</v>
      </c>
      <c r="C1881" s="1" t="s">
        <v>1016</v>
      </c>
      <c r="D1881" s="1">
        <v>11.0</v>
      </c>
      <c r="E1881" s="1" t="s">
        <v>945</v>
      </c>
      <c r="F1881" s="1">
        <v>33496.0</v>
      </c>
    </row>
    <row r="1882">
      <c r="A1882" s="1">
        <v>1881.0</v>
      </c>
      <c r="B1882" s="1" t="s">
        <v>954</v>
      </c>
      <c r="C1882" s="1" t="s">
        <v>1016</v>
      </c>
      <c r="D1882" s="1">
        <v>11.0</v>
      </c>
      <c r="E1882" s="1" t="s">
        <v>945</v>
      </c>
      <c r="F1882" s="1">
        <v>237907.0</v>
      </c>
    </row>
    <row r="1883">
      <c r="A1883" s="1">
        <v>1882.0</v>
      </c>
      <c r="B1883" s="1" t="s">
        <v>95</v>
      </c>
      <c r="C1883" s="1" t="s">
        <v>1016</v>
      </c>
      <c r="D1883" s="1">
        <v>10.0</v>
      </c>
      <c r="E1883" s="1" t="s">
        <v>945</v>
      </c>
      <c r="F1883" s="1">
        <v>744516.0</v>
      </c>
    </row>
    <row r="1884">
      <c r="A1884" s="1">
        <v>1883.0</v>
      </c>
      <c r="B1884" s="1" t="s">
        <v>1316</v>
      </c>
      <c r="C1884" s="1" t="s">
        <v>1016</v>
      </c>
      <c r="D1884" s="1">
        <v>10.0</v>
      </c>
      <c r="E1884" s="1" t="s">
        <v>945</v>
      </c>
      <c r="F1884" s="1">
        <v>301786.0</v>
      </c>
    </row>
    <row r="1885">
      <c r="A1885" s="1">
        <v>1884.0</v>
      </c>
      <c r="B1885" s="1" t="s">
        <v>222</v>
      </c>
      <c r="C1885" s="1" t="s">
        <v>1016</v>
      </c>
      <c r="D1885" s="1">
        <v>10.0</v>
      </c>
      <c r="E1885" s="1" t="s">
        <v>945</v>
      </c>
      <c r="F1885" s="1">
        <v>530781.0</v>
      </c>
    </row>
    <row r="1886">
      <c r="A1886" s="1">
        <v>1885.0</v>
      </c>
      <c r="B1886" s="1" t="s">
        <v>1317</v>
      </c>
      <c r="C1886" s="1" t="s">
        <v>1016</v>
      </c>
      <c r="D1886" s="1">
        <v>9.0</v>
      </c>
      <c r="E1886" s="1" t="s">
        <v>945</v>
      </c>
      <c r="F1886" s="1">
        <v>716327.0</v>
      </c>
    </row>
    <row r="1887">
      <c r="A1887" s="1">
        <v>1886.0</v>
      </c>
      <c r="B1887" s="1" t="s">
        <v>1318</v>
      </c>
      <c r="C1887" s="1" t="s">
        <v>1016</v>
      </c>
      <c r="D1887" s="1">
        <v>9.0</v>
      </c>
      <c r="E1887" s="1" t="s">
        <v>945</v>
      </c>
      <c r="F1887" s="1">
        <v>147159.0</v>
      </c>
    </row>
    <row r="1888">
      <c r="A1888" s="1">
        <v>1887.0</v>
      </c>
      <c r="B1888" s="5" t="s">
        <v>1319</v>
      </c>
      <c r="C1888" s="1" t="s">
        <v>1016</v>
      </c>
      <c r="D1888" s="1">
        <v>9.0</v>
      </c>
      <c r="E1888" s="1" t="s">
        <v>945</v>
      </c>
      <c r="F1888" s="1">
        <v>528453.0</v>
      </c>
    </row>
    <row r="1889">
      <c r="A1889" s="1">
        <v>1888.0</v>
      </c>
      <c r="B1889" s="1" t="s">
        <v>20</v>
      </c>
      <c r="C1889" s="1" t="s">
        <v>1016</v>
      </c>
      <c r="D1889" s="1">
        <v>8.0</v>
      </c>
      <c r="E1889" s="1" t="s">
        <v>945</v>
      </c>
      <c r="F1889" s="1">
        <v>728811.0</v>
      </c>
    </row>
    <row r="1890">
      <c r="A1890" s="1">
        <v>1889.0</v>
      </c>
      <c r="B1890" s="1" t="s">
        <v>997</v>
      </c>
      <c r="C1890" s="1" t="s">
        <v>1016</v>
      </c>
      <c r="D1890" s="1">
        <v>8.0</v>
      </c>
      <c r="E1890" s="1" t="s">
        <v>945</v>
      </c>
      <c r="F1890" s="1">
        <v>787161.0</v>
      </c>
    </row>
    <row r="1891">
      <c r="A1891" s="1">
        <v>1890.0</v>
      </c>
      <c r="B1891" s="1" t="s">
        <v>1320</v>
      </c>
      <c r="C1891" s="1" t="s">
        <v>1016</v>
      </c>
      <c r="D1891" s="1">
        <v>8.0</v>
      </c>
      <c r="E1891" s="1" t="s">
        <v>945</v>
      </c>
      <c r="F1891" s="1">
        <v>483379.0</v>
      </c>
    </row>
    <row r="1892">
      <c r="A1892" s="1">
        <v>1891.0</v>
      </c>
      <c r="B1892" s="1" t="s">
        <v>698</v>
      </c>
      <c r="C1892" s="1" t="s">
        <v>1016</v>
      </c>
      <c r="D1892" s="1">
        <v>8.0</v>
      </c>
      <c r="E1892" s="1" t="s">
        <v>945</v>
      </c>
      <c r="F1892" s="1">
        <v>465742.0</v>
      </c>
    </row>
    <row r="1893">
      <c r="A1893" s="1">
        <v>1892.0</v>
      </c>
      <c r="B1893" s="1" t="s">
        <v>627</v>
      </c>
      <c r="C1893" s="1" t="s">
        <v>1016</v>
      </c>
      <c r="D1893" s="1">
        <v>7.0</v>
      </c>
      <c r="E1893" s="1" t="s">
        <v>945</v>
      </c>
      <c r="F1893" s="1">
        <v>496022.0</v>
      </c>
    </row>
    <row r="1894">
      <c r="A1894" s="1">
        <v>1893.0</v>
      </c>
      <c r="B1894" s="1" t="s">
        <v>77</v>
      </c>
      <c r="C1894" s="1" t="s">
        <v>1016</v>
      </c>
      <c r="D1894" s="1">
        <v>6.0</v>
      </c>
      <c r="E1894" s="1" t="s">
        <v>945</v>
      </c>
      <c r="F1894" s="1">
        <v>1322737.0</v>
      </c>
    </row>
    <row r="1895">
      <c r="A1895" s="1">
        <v>1894.0</v>
      </c>
      <c r="B1895" s="1" t="s">
        <v>1084</v>
      </c>
      <c r="C1895" s="1" t="s">
        <v>1016</v>
      </c>
      <c r="D1895" s="1">
        <v>6.0</v>
      </c>
      <c r="E1895" s="1" t="s">
        <v>945</v>
      </c>
      <c r="F1895" s="1">
        <v>412152.0</v>
      </c>
    </row>
    <row r="1896">
      <c r="A1896" s="1">
        <v>1895.0</v>
      </c>
      <c r="B1896" s="1" t="s">
        <v>1321</v>
      </c>
      <c r="C1896" s="1" t="s">
        <v>1016</v>
      </c>
      <c r="D1896" s="1">
        <v>6.0</v>
      </c>
      <c r="E1896" s="1" t="s">
        <v>945</v>
      </c>
      <c r="F1896" s="1">
        <v>496241.0</v>
      </c>
    </row>
    <row r="1897">
      <c r="A1897" s="1">
        <v>1896.0</v>
      </c>
      <c r="B1897" s="1" t="s">
        <v>1322</v>
      </c>
      <c r="C1897" s="1" t="s">
        <v>1016</v>
      </c>
      <c r="D1897" s="1">
        <v>6.0</v>
      </c>
      <c r="E1897" s="1" t="s">
        <v>945</v>
      </c>
      <c r="F1897" s="1">
        <v>661760.0</v>
      </c>
    </row>
    <row r="1898">
      <c r="A1898" s="1">
        <v>1897.0</v>
      </c>
      <c r="B1898" s="1" t="s">
        <v>1323</v>
      </c>
      <c r="C1898" s="1" t="s">
        <v>1016</v>
      </c>
      <c r="D1898" s="1">
        <v>6.0</v>
      </c>
      <c r="E1898" s="1" t="s">
        <v>945</v>
      </c>
      <c r="F1898" s="1">
        <v>448170.0</v>
      </c>
    </row>
    <row r="1899">
      <c r="A1899" s="1">
        <v>1898.0</v>
      </c>
      <c r="B1899" s="1" t="s">
        <v>29</v>
      </c>
      <c r="C1899" s="1" t="s">
        <v>1016</v>
      </c>
      <c r="D1899" s="1">
        <v>5.0</v>
      </c>
      <c r="E1899" s="1" t="s">
        <v>945</v>
      </c>
      <c r="F1899" s="1">
        <v>744033.0</v>
      </c>
    </row>
    <row r="1900">
      <c r="A1900" s="1">
        <v>1899.0</v>
      </c>
      <c r="B1900" s="1" t="s">
        <v>581</v>
      </c>
      <c r="C1900" s="1" t="s">
        <v>1016</v>
      </c>
      <c r="D1900" s="1">
        <v>5.0</v>
      </c>
      <c r="E1900" s="1" t="s">
        <v>945</v>
      </c>
      <c r="F1900" s="1">
        <v>254901.0</v>
      </c>
    </row>
    <row r="1901">
      <c r="A1901" s="1">
        <v>1900.0</v>
      </c>
      <c r="B1901" s="1" t="s">
        <v>1324</v>
      </c>
      <c r="C1901" s="1" t="s">
        <v>1016</v>
      </c>
      <c r="D1901" s="1">
        <v>5.0</v>
      </c>
      <c r="E1901" s="1" t="s">
        <v>945</v>
      </c>
      <c r="F1901" s="1">
        <v>320543.0</v>
      </c>
    </row>
    <row r="1902">
      <c r="A1902" s="1">
        <v>1901.0</v>
      </c>
      <c r="B1902" s="1" t="s">
        <v>176</v>
      </c>
      <c r="C1902" s="1" t="s">
        <v>1016</v>
      </c>
      <c r="D1902" s="1">
        <v>5.0</v>
      </c>
      <c r="E1902" s="1" t="s">
        <v>945</v>
      </c>
      <c r="F1902" s="1">
        <v>366885.0</v>
      </c>
    </row>
    <row r="1903">
      <c r="A1903" s="1">
        <v>1902.0</v>
      </c>
      <c r="B1903" s="1" t="s">
        <v>39</v>
      </c>
      <c r="C1903" s="1" t="s">
        <v>1016</v>
      </c>
      <c r="D1903" s="1">
        <v>5.0</v>
      </c>
      <c r="E1903" s="1" t="s">
        <v>945</v>
      </c>
      <c r="F1903" s="1">
        <v>682909.0</v>
      </c>
    </row>
    <row r="1904">
      <c r="A1904" s="1">
        <v>1903.0</v>
      </c>
      <c r="B1904" s="1" t="s">
        <v>1325</v>
      </c>
      <c r="C1904" s="1" t="s">
        <v>1016</v>
      </c>
      <c r="D1904" s="1">
        <v>4.0</v>
      </c>
      <c r="E1904" s="1" t="s">
        <v>945</v>
      </c>
      <c r="F1904" s="1">
        <v>444728.0</v>
      </c>
    </row>
    <row r="1905">
      <c r="A1905" s="1">
        <v>1904.0</v>
      </c>
      <c r="B1905" s="1" t="s">
        <v>966</v>
      </c>
      <c r="C1905" s="1" t="s">
        <v>1016</v>
      </c>
      <c r="D1905" s="1">
        <v>4.0</v>
      </c>
      <c r="E1905" s="1" t="s">
        <v>945</v>
      </c>
      <c r="F1905" s="1">
        <v>16537.0</v>
      </c>
    </row>
    <row r="1906">
      <c r="A1906" s="1">
        <v>1905.0</v>
      </c>
      <c r="B1906" s="1" t="s">
        <v>1318</v>
      </c>
      <c r="C1906" s="1" t="s">
        <v>1016</v>
      </c>
      <c r="D1906" s="1">
        <v>4.0</v>
      </c>
      <c r="E1906" s="1" t="s">
        <v>945</v>
      </c>
      <c r="F1906" s="1">
        <v>139396.0</v>
      </c>
    </row>
    <row r="1907">
      <c r="A1907" s="1">
        <v>1906.0</v>
      </c>
      <c r="B1907" s="1" t="s">
        <v>612</v>
      </c>
      <c r="C1907" s="1" t="s">
        <v>1016</v>
      </c>
      <c r="D1907" s="1">
        <v>4.0</v>
      </c>
      <c r="E1907" s="1" t="s">
        <v>945</v>
      </c>
      <c r="F1907" s="1">
        <v>317183.0</v>
      </c>
    </row>
    <row r="1908">
      <c r="A1908" s="1">
        <v>1907.0</v>
      </c>
      <c r="B1908" s="1" t="s">
        <v>330</v>
      </c>
      <c r="C1908" s="1" t="s">
        <v>1016</v>
      </c>
      <c r="D1908" s="1">
        <v>4.0</v>
      </c>
      <c r="E1908" s="1" t="s">
        <v>945</v>
      </c>
      <c r="F1908" s="1">
        <v>39791.0</v>
      </c>
    </row>
    <row r="1909">
      <c r="A1909" s="1">
        <v>1908.0</v>
      </c>
      <c r="B1909" s="1" t="s">
        <v>962</v>
      </c>
      <c r="C1909" s="1" t="s">
        <v>1016</v>
      </c>
      <c r="D1909" s="1">
        <v>4.0</v>
      </c>
      <c r="E1909" s="1" t="s">
        <v>945</v>
      </c>
      <c r="F1909" s="1">
        <v>680000.0</v>
      </c>
    </row>
    <row r="1910">
      <c r="A1910" s="1">
        <v>1909.0</v>
      </c>
      <c r="B1910" s="1" t="s">
        <v>1011</v>
      </c>
      <c r="C1910" s="1" t="s">
        <v>1016</v>
      </c>
      <c r="D1910" s="1">
        <v>4.0</v>
      </c>
      <c r="E1910" s="1" t="s">
        <v>945</v>
      </c>
      <c r="F1910" s="1">
        <v>26309.0</v>
      </c>
    </row>
    <row r="1911">
      <c r="A1911" s="1">
        <v>1910.0</v>
      </c>
      <c r="B1911" s="1" t="s">
        <v>149</v>
      </c>
      <c r="C1911" s="1" t="s">
        <v>1016</v>
      </c>
      <c r="D1911" s="1">
        <v>4.0</v>
      </c>
      <c r="E1911" s="1" t="s">
        <v>945</v>
      </c>
      <c r="F1911" s="1">
        <v>965889.0</v>
      </c>
    </row>
    <row r="1912">
      <c r="A1912" s="1">
        <v>1911.0</v>
      </c>
      <c r="B1912" s="1" t="s">
        <v>176</v>
      </c>
      <c r="C1912" s="1" t="s">
        <v>1016</v>
      </c>
      <c r="D1912" s="1">
        <v>4.0</v>
      </c>
      <c r="E1912" s="1" t="s">
        <v>945</v>
      </c>
      <c r="F1912" s="1">
        <v>25618.0</v>
      </c>
    </row>
    <row r="1913">
      <c r="A1913" s="1">
        <v>1912.0</v>
      </c>
      <c r="B1913" s="1" t="s">
        <v>173</v>
      </c>
      <c r="C1913" s="1" t="s">
        <v>1016</v>
      </c>
      <c r="D1913" s="1">
        <v>4.0</v>
      </c>
      <c r="E1913" s="1" t="s">
        <v>945</v>
      </c>
      <c r="F1913" s="1">
        <v>25515.0</v>
      </c>
    </row>
    <row r="1914">
      <c r="A1914" s="1">
        <v>1913.0</v>
      </c>
      <c r="B1914" s="1" t="s">
        <v>1326</v>
      </c>
      <c r="C1914" s="1" t="s">
        <v>1016</v>
      </c>
      <c r="D1914" s="1">
        <v>3.0</v>
      </c>
      <c r="E1914" s="1" t="s">
        <v>945</v>
      </c>
      <c r="F1914" s="1">
        <v>374059.0</v>
      </c>
    </row>
    <row r="1915">
      <c r="A1915" s="1">
        <v>1914.0</v>
      </c>
      <c r="B1915" s="1" t="s">
        <v>412</v>
      </c>
      <c r="C1915" s="1" t="s">
        <v>1016</v>
      </c>
      <c r="D1915" s="1">
        <v>3.0</v>
      </c>
      <c r="E1915" s="1" t="s">
        <v>945</v>
      </c>
      <c r="F1915" s="1">
        <v>1416324.0</v>
      </c>
    </row>
    <row r="1916">
      <c r="A1916" s="1">
        <v>1915.0</v>
      </c>
      <c r="B1916" s="1" t="s">
        <v>629</v>
      </c>
      <c r="C1916" s="1" t="s">
        <v>1016</v>
      </c>
      <c r="D1916" s="1">
        <v>3.0</v>
      </c>
      <c r="E1916" s="1" t="s">
        <v>945</v>
      </c>
      <c r="F1916" s="1">
        <v>1040054.0</v>
      </c>
    </row>
    <row r="1917">
      <c r="A1917" s="1">
        <v>1916.0</v>
      </c>
      <c r="B1917" s="1" t="s">
        <v>1327</v>
      </c>
      <c r="C1917" s="1" t="s">
        <v>1016</v>
      </c>
      <c r="D1917" s="1">
        <v>3.0</v>
      </c>
      <c r="E1917" s="1" t="s">
        <v>945</v>
      </c>
      <c r="F1917" s="1">
        <v>516690.0</v>
      </c>
    </row>
    <row r="1918">
      <c r="A1918" s="1">
        <v>1917.0</v>
      </c>
      <c r="B1918" s="1" t="s">
        <v>1328</v>
      </c>
      <c r="C1918" s="1" t="s">
        <v>1016</v>
      </c>
      <c r="D1918" s="1">
        <v>3.0</v>
      </c>
      <c r="E1918" s="1" t="s">
        <v>945</v>
      </c>
      <c r="F1918" s="1">
        <v>1356593.0</v>
      </c>
    </row>
    <row r="1919">
      <c r="A1919" s="1">
        <v>1918.0</v>
      </c>
      <c r="B1919" s="1" t="s">
        <v>1329</v>
      </c>
      <c r="C1919" s="1" t="s">
        <v>1016</v>
      </c>
      <c r="D1919" s="1">
        <v>3.0</v>
      </c>
      <c r="E1919" s="1" t="s">
        <v>945</v>
      </c>
      <c r="F1919" s="1">
        <v>38510.0</v>
      </c>
    </row>
    <row r="1920">
      <c r="A1920" s="1">
        <v>1919.0</v>
      </c>
      <c r="B1920" s="1" t="s">
        <v>577</v>
      </c>
      <c r="C1920" s="1" t="s">
        <v>1016</v>
      </c>
      <c r="D1920" s="1">
        <v>3.0</v>
      </c>
      <c r="E1920" s="1" t="s">
        <v>945</v>
      </c>
      <c r="F1920" s="1">
        <v>369531.0</v>
      </c>
    </row>
    <row r="1921">
      <c r="A1921" s="1">
        <v>1920.0</v>
      </c>
      <c r="B1921" s="1" t="s">
        <v>1330</v>
      </c>
      <c r="C1921" s="1" t="s">
        <v>1016</v>
      </c>
      <c r="D1921" s="1">
        <v>3.0</v>
      </c>
      <c r="E1921" s="1" t="s">
        <v>945</v>
      </c>
      <c r="F1921" s="1">
        <v>53.0</v>
      </c>
    </row>
    <row r="1922">
      <c r="A1922" s="1">
        <v>1921.0</v>
      </c>
      <c r="B1922" s="1" t="s">
        <v>978</v>
      </c>
      <c r="C1922" s="1" t="s">
        <v>1016</v>
      </c>
      <c r="D1922" s="1">
        <v>3.0</v>
      </c>
      <c r="E1922" s="1" t="s">
        <v>945</v>
      </c>
      <c r="F1922" s="1">
        <v>35768.0</v>
      </c>
    </row>
    <row r="1923">
      <c r="A1923" s="1">
        <v>1922.0</v>
      </c>
      <c r="B1923" s="1" t="s">
        <v>1331</v>
      </c>
      <c r="C1923" s="1" t="s">
        <v>1016</v>
      </c>
      <c r="D1923" s="1">
        <v>3.0</v>
      </c>
      <c r="E1923" s="1" t="s">
        <v>945</v>
      </c>
      <c r="F1923" s="1">
        <v>25766.0</v>
      </c>
    </row>
    <row r="1924">
      <c r="A1924" s="1">
        <v>1923.0</v>
      </c>
      <c r="B1924" s="1" t="s">
        <v>31</v>
      </c>
      <c r="C1924" s="1" t="s">
        <v>1016</v>
      </c>
      <c r="D1924" s="1">
        <v>2.0</v>
      </c>
      <c r="E1924" s="1" t="s">
        <v>945</v>
      </c>
      <c r="F1924" s="1">
        <v>875445.0</v>
      </c>
    </row>
    <row r="1925">
      <c r="A1925" s="1">
        <v>1924.0</v>
      </c>
      <c r="B1925" s="1" t="s">
        <v>1332</v>
      </c>
      <c r="C1925" s="1" t="s">
        <v>1016</v>
      </c>
      <c r="D1925" s="1">
        <v>2.0</v>
      </c>
      <c r="E1925" s="1" t="s">
        <v>945</v>
      </c>
      <c r="F1925" s="1">
        <v>448911.0</v>
      </c>
    </row>
    <row r="1926">
      <c r="A1926" s="1">
        <v>1925.0</v>
      </c>
      <c r="B1926" s="1" t="s">
        <v>1333</v>
      </c>
      <c r="C1926" s="1" t="s">
        <v>1016</v>
      </c>
      <c r="D1926" s="1">
        <v>2.0</v>
      </c>
      <c r="E1926" s="1" t="s">
        <v>945</v>
      </c>
      <c r="F1926" s="1">
        <v>882573.0</v>
      </c>
    </row>
    <row r="1927">
      <c r="A1927" s="1">
        <v>1926.0</v>
      </c>
      <c r="B1927" s="1" t="s">
        <v>1334</v>
      </c>
      <c r="C1927" s="1" t="s">
        <v>1016</v>
      </c>
      <c r="D1927" s="1">
        <v>2.0</v>
      </c>
      <c r="E1927" s="1" t="s">
        <v>945</v>
      </c>
      <c r="F1927" s="1">
        <v>430649.0</v>
      </c>
    </row>
    <row r="1928">
      <c r="A1928" s="1">
        <v>1927.0</v>
      </c>
      <c r="B1928" s="1" t="s">
        <v>1335</v>
      </c>
      <c r="C1928" s="1" t="s">
        <v>1016</v>
      </c>
      <c r="D1928" s="1">
        <v>2.0</v>
      </c>
      <c r="E1928" s="1" t="s">
        <v>945</v>
      </c>
      <c r="F1928" s="1">
        <v>3278.0</v>
      </c>
    </row>
    <row r="1929">
      <c r="A1929" s="1">
        <v>1928.0</v>
      </c>
      <c r="B1929" s="1" t="s">
        <v>1336</v>
      </c>
      <c r="C1929" s="1" t="s">
        <v>1016</v>
      </c>
      <c r="D1929" s="1">
        <v>2.0</v>
      </c>
      <c r="E1929" s="1" t="s">
        <v>945</v>
      </c>
      <c r="F1929" s="1">
        <v>15189.0</v>
      </c>
    </row>
    <row r="1930">
      <c r="A1930" s="1">
        <v>1929.0</v>
      </c>
      <c r="B1930" s="1" t="s">
        <v>577</v>
      </c>
      <c r="C1930" s="1" t="s">
        <v>1016</v>
      </c>
      <c r="D1930" s="1">
        <v>2.0</v>
      </c>
      <c r="E1930" s="1" t="s">
        <v>945</v>
      </c>
      <c r="F1930" s="1">
        <v>21942.0</v>
      </c>
    </row>
    <row r="1931">
      <c r="A1931" s="1">
        <v>1930.0</v>
      </c>
      <c r="B1931" s="1" t="s">
        <v>1337</v>
      </c>
      <c r="C1931" s="1" t="s">
        <v>1016</v>
      </c>
      <c r="D1931" s="1">
        <v>2.0</v>
      </c>
      <c r="E1931" s="1" t="s">
        <v>945</v>
      </c>
      <c r="F1931" s="1">
        <v>556567.0</v>
      </c>
    </row>
    <row r="1932">
      <c r="A1932" s="1">
        <v>1931.0</v>
      </c>
      <c r="B1932" s="1" t="s">
        <v>864</v>
      </c>
      <c r="C1932" s="1" t="s">
        <v>1016</v>
      </c>
      <c r="D1932" s="1">
        <v>2.0</v>
      </c>
      <c r="E1932" s="1" t="s">
        <v>945</v>
      </c>
      <c r="F1932" s="1">
        <v>25415.0</v>
      </c>
    </row>
    <row r="1933">
      <c r="A1933" s="1">
        <v>1932.0</v>
      </c>
      <c r="B1933" s="1" t="s">
        <v>53</v>
      </c>
      <c r="C1933" s="1" t="s">
        <v>1016</v>
      </c>
      <c r="D1933" s="1">
        <v>2.0</v>
      </c>
      <c r="E1933" s="1" t="s">
        <v>945</v>
      </c>
      <c r="F1933" s="1">
        <v>37752.0</v>
      </c>
    </row>
    <row r="1934">
      <c r="A1934" s="1">
        <v>1933.0</v>
      </c>
      <c r="B1934" s="1" t="s">
        <v>1010</v>
      </c>
      <c r="C1934" s="1" t="s">
        <v>1016</v>
      </c>
      <c r="D1934" s="1">
        <v>2.0</v>
      </c>
      <c r="E1934" s="1" t="s">
        <v>945</v>
      </c>
      <c r="F1934" s="1">
        <v>26912.0</v>
      </c>
    </row>
    <row r="1935">
      <c r="A1935" s="1">
        <v>1934.0</v>
      </c>
      <c r="B1935" s="1" t="s">
        <v>33</v>
      </c>
      <c r="C1935" s="1" t="s">
        <v>1016</v>
      </c>
      <c r="D1935" s="1">
        <v>2.0</v>
      </c>
      <c r="E1935" s="1" t="s">
        <v>945</v>
      </c>
      <c r="F1935" s="1">
        <v>22894.0</v>
      </c>
    </row>
    <row r="1936">
      <c r="A1936" s="1">
        <v>1935.0</v>
      </c>
      <c r="B1936" s="1" t="s">
        <v>838</v>
      </c>
      <c r="C1936" s="1" t="s">
        <v>1016</v>
      </c>
      <c r="D1936" s="1">
        <v>2.0</v>
      </c>
      <c r="E1936" s="1" t="s">
        <v>945</v>
      </c>
      <c r="F1936" s="1">
        <v>15083.0</v>
      </c>
    </row>
    <row r="1937">
      <c r="A1937" s="1">
        <v>1936.0</v>
      </c>
      <c r="B1937" s="1" t="s">
        <v>1338</v>
      </c>
      <c r="C1937" s="1" t="s">
        <v>1016</v>
      </c>
      <c r="D1937" s="1">
        <v>2.0</v>
      </c>
      <c r="E1937" s="1" t="s">
        <v>945</v>
      </c>
      <c r="F1937" s="1">
        <v>14471.0</v>
      </c>
    </row>
    <row r="1938">
      <c r="A1938" s="1">
        <v>1937.0</v>
      </c>
      <c r="B1938" s="1" t="s">
        <v>1339</v>
      </c>
      <c r="C1938" s="1" t="s">
        <v>1016</v>
      </c>
      <c r="D1938" s="1">
        <v>2.0</v>
      </c>
      <c r="E1938" s="1" t="s">
        <v>945</v>
      </c>
      <c r="F1938" s="1">
        <v>581246.0</v>
      </c>
    </row>
    <row r="1939">
      <c r="A1939" s="1">
        <v>1938.0</v>
      </c>
      <c r="B1939" s="1" t="s">
        <v>1340</v>
      </c>
      <c r="C1939" s="1" t="s">
        <v>1016</v>
      </c>
      <c r="D1939" s="1">
        <v>2.0</v>
      </c>
      <c r="E1939" s="1" t="s">
        <v>945</v>
      </c>
      <c r="F1939" s="1">
        <v>15124.0</v>
      </c>
    </row>
    <row r="1940">
      <c r="A1940" s="1">
        <v>1939.0</v>
      </c>
      <c r="B1940" s="1" t="s">
        <v>1317</v>
      </c>
      <c r="C1940" s="1" t="s">
        <v>1016</v>
      </c>
      <c r="D1940" s="1">
        <v>2.0</v>
      </c>
      <c r="E1940" s="1" t="s">
        <v>945</v>
      </c>
      <c r="F1940" s="1">
        <v>232692.0</v>
      </c>
    </row>
    <row r="1941">
      <c r="A1941" s="1">
        <v>1940.0</v>
      </c>
      <c r="B1941" s="1" t="s">
        <v>1341</v>
      </c>
      <c r="C1941" s="1" t="s">
        <v>1016</v>
      </c>
      <c r="D1941" s="1">
        <v>2.0</v>
      </c>
      <c r="E1941" s="1" t="s">
        <v>945</v>
      </c>
      <c r="F1941" s="1">
        <v>1061000.0</v>
      </c>
    </row>
    <row r="1942">
      <c r="A1942" s="1">
        <v>1941.0</v>
      </c>
      <c r="B1942" s="1" t="s">
        <v>1342</v>
      </c>
      <c r="C1942" s="1" t="s">
        <v>1016</v>
      </c>
      <c r="D1942" s="1">
        <v>2.0</v>
      </c>
      <c r="E1942" s="1" t="s">
        <v>945</v>
      </c>
      <c r="F1942" s="1">
        <v>15624.0</v>
      </c>
    </row>
    <row r="1943">
      <c r="A1943" s="1">
        <v>1942.0</v>
      </c>
      <c r="B1943" s="1" t="s">
        <v>987</v>
      </c>
      <c r="C1943" s="1" t="s">
        <v>1016</v>
      </c>
      <c r="D1943" s="1">
        <v>2.0</v>
      </c>
      <c r="E1943" s="1" t="s">
        <v>945</v>
      </c>
      <c r="F1943" s="1">
        <v>429071.0</v>
      </c>
    </row>
    <row r="1944">
      <c r="A1944" s="1">
        <v>1943.0</v>
      </c>
      <c r="B1944" s="1" t="s">
        <v>1009</v>
      </c>
      <c r="C1944" s="1" t="s">
        <v>1016</v>
      </c>
      <c r="D1944" s="1">
        <v>2.0</v>
      </c>
      <c r="E1944" s="1" t="s">
        <v>945</v>
      </c>
      <c r="F1944" s="1">
        <v>1814306.0</v>
      </c>
    </row>
    <row r="1945">
      <c r="A1945" s="1">
        <v>1944.0</v>
      </c>
      <c r="B1945" s="1" t="s">
        <v>1343</v>
      </c>
      <c r="C1945" s="1" t="s">
        <v>1016</v>
      </c>
      <c r="D1945" s="1">
        <v>2.0</v>
      </c>
      <c r="E1945" s="1" t="s">
        <v>945</v>
      </c>
      <c r="F1945" s="1">
        <v>25614.0</v>
      </c>
    </row>
    <row r="1946">
      <c r="A1946" s="1">
        <v>1945.0</v>
      </c>
      <c r="B1946" s="1" t="s">
        <v>125</v>
      </c>
      <c r="C1946" s="1" t="s">
        <v>1016</v>
      </c>
      <c r="D1946" s="1">
        <v>2.0</v>
      </c>
      <c r="E1946" s="1" t="s">
        <v>945</v>
      </c>
      <c r="F1946" s="1">
        <v>52886.0</v>
      </c>
    </row>
    <row r="1947">
      <c r="A1947" s="1">
        <v>1946.0</v>
      </c>
      <c r="B1947" s="1" t="s">
        <v>1344</v>
      </c>
      <c r="C1947" s="1" t="s">
        <v>1016</v>
      </c>
      <c r="D1947" s="1">
        <v>2.0</v>
      </c>
      <c r="E1947" s="1" t="s">
        <v>945</v>
      </c>
      <c r="F1947" s="1">
        <v>17336.0</v>
      </c>
    </row>
    <row r="1948">
      <c r="A1948" s="1">
        <v>1947.0</v>
      </c>
      <c r="B1948" s="1" t="s">
        <v>1345</v>
      </c>
      <c r="C1948" s="1" t="s">
        <v>1016</v>
      </c>
      <c r="D1948" s="1">
        <v>2.0</v>
      </c>
      <c r="E1948" s="1" t="s">
        <v>945</v>
      </c>
      <c r="F1948" s="1">
        <v>26842.0</v>
      </c>
    </row>
    <row r="1949">
      <c r="A1949" s="1">
        <v>1948.0</v>
      </c>
      <c r="B1949" s="1" t="s">
        <v>1346</v>
      </c>
      <c r="C1949" s="1" t="s">
        <v>1016</v>
      </c>
      <c r="D1949" s="1">
        <v>2.0</v>
      </c>
      <c r="E1949" s="1" t="s">
        <v>945</v>
      </c>
      <c r="F1949" s="1">
        <v>47897.0</v>
      </c>
    </row>
    <row r="1950">
      <c r="A1950" s="1">
        <v>1949.0</v>
      </c>
      <c r="B1950" s="1" t="s">
        <v>1087</v>
      </c>
      <c r="C1950" s="1" t="s">
        <v>1016</v>
      </c>
      <c r="D1950" s="1">
        <v>2.0</v>
      </c>
      <c r="E1950" s="1" t="s">
        <v>945</v>
      </c>
      <c r="F1950" s="1">
        <v>386026.0</v>
      </c>
    </row>
    <row r="1951">
      <c r="A1951" s="1">
        <v>1950.0</v>
      </c>
      <c r="B1951" s="1" t="s">
        <v>1347</v>
      </c>
      <c r="C1951" s="1" t="s">
        <v>1016</v>
      </c>
      <c r="D1951" s="1">
        <v>2.0</v>
      </c>
      <c r="E1951" s="1" t="s">
        <v>945</v>
      </c>
      <c r="F1951" s="1">
        <v>23043.0</v>
      </c>
    </row>
    <row r="1952">
      <c r="A1952" s="1">
        <v>1951.0</v>
      </c>
      <c r="B1952" s="5" t="s">
        <v>374</v>
      </c>
      <c r="C1952" s="1" t="s">
        <v>1016</v>
      </c>
      <c r="D1952" s="1">
        <v>2.0</v>
      </c>
      <c r="E1952" s="1" t="s">
        <v>945</v>
      </c>
      <c r="F1952" s="1">
        <v>18086.0</v>
      </c>
    </row>
    <row r="1953">
      <c r="A1953" s="1">
        <v>1952.0</v>
      </c>
      <c r="B1953" s="1" t="s">
        <v>1348</v>
      </c>
      <c r="C1953" s="1" t="s">
        <v>1016</v>
      </c>
      <c r="D1953" s="1">
        <v>2.0</v>
      </c>
      <c r="E1953" s="1" t="s">
        <v>945</v>
      </c>
      <c r="F1953" s="1">
        <v>36279.0</v>
      </c>
    </row>
    <row r="1954">
      <c r="A1954" s="1">
        <v>1953.0</v>
      </c>
      <c r="B1954" s="1" t="s">
        <v>1332</v>
      </c>
      <c r="C1954" s="1" t="s">
        <v>1016</v>
      </c>
      <c r="D1954" s="1">
        <v>2.0</v>
      </c>
      <c r="E1954" s="1" t="s">
        <v>945</v>
      </c>
      <c r="F1954" s="1">
        <v>56352.0</v>
      </c>
    </row>
    <row r="1955">
      <c r="A1955" s="1">
        <v>1954.0</v>
      </c>
      <c r="B1955" s="1" t="s">
        <v>944</v>
      </c>
      <c r="C1955" s="1" t="s">
        <v>1016</v>
      </c>
      <c r="D1955" s="1">
        <v>2.0</v>
      </c>
      <c r="E1955" s="1" t="s">
        <v>945</v>
      </c>
      <c r="F1955" s="1">
        <v>584620.0</v>
      </c>
    </row>
    <row r="1956">
      <c r="A1956" s="1">
        <v>1955.0</v>
      </c>
      <c r="B1956" s="1" t="s">
        <v>1349</v>
      </c>
      <c r="C1956" s="1" t="s">
        <v>1016</v>
      </c>
      <c r="D1956" s="1">
        <v>2.0</v>
      </c>
      <c r="E1956" s="1" t="s">
        <v>945</v>
      </c>
      <c r="F1956" s="1">
        <v>24818.0</v>
      </c>
    </row>
    <row r="1957">
      <c r="A1957" s="1">
        <v>1956.0</v>
      </c>
      <c r="B1957" s="1" t="s">
        <v>38</v>
      </c>
      <c r="C1957" s="1" t="s">
        <v>1016</v>
      </c>
      <c r="D1957" s="1">
        <v>2.0</v>
      </c>
      <c r="E1957" s="1" t="s">
        <v>945</v>
      </c>
      <c r="F1957" s="1">
        <v>731418.0</v>
      </c>
    </row>
    <row r="1958">
      <c r="A1958" s="1">
        <v>1957.0</v>
      </c>
      <c r="B1958" s="1" t="s">
        <v>965</v>
      </c>
      <c r="C1958" s="1" t="s">
        <v>1016</v>
      </c>
      <c r="D1958" s="1">
        <v>2.0</v>
      </c>
      <c r="E1958" s="1" t="s">
        <v>945</v>
      </c>
      <c r="F1958" s="1">
        <v>73962.0</v>
      </c>
    </row>
    <row r="1959">
      <c r="A1959" s="1">
        <v>1958.0</v>
      </c>
      <c r="B1959" s="1" t="s">
        <v>1350</v>
      </c>
      <c r="C1959" s="1" t="s">
        <v>1016</v>
      </c>
      <c r="D1959" s="1">
        <v>2.0</v>
      </c>
      <c r="E1959" s="1" t="s">
        <v>945</v>
      </c>
      <c r="F1959" s="1">
        <v>271325.0</v>
      </c>
    </row>
    <row r="1960">
      <c r="A1960" s="1">
        <v>1959.0</v>
      </c>
      <c r="B1960" s="1" t="s">
        <v>1351</v>
      </c>
      <c r="C1960" s="1" t="s">
        <v>1016</v>
      </c>
      <c r="D1960" s="1">
        <v>2.0</v>
      </c>
      <c r="E1960" s="1" t="s">
        <v>945</v>
      </c>
      <c r="F1960" s="1">
        <v>41851.0</v>
      </c>
    </row>
    <row r="1961">
      <c r="A1961" s="1">
        <v>1960.0</v>
      </c>
      <c r="B1961" s="1" t="s">
        <v>1352</v>
      </c>
      <c r="C1961" s="1" t="s">
        <v>1016</v>
      </c>
      <c r="D1961" s="1">
        <v>2.0</v>
      </c>
      <c r="E1961" s="1" t="s">
        <v>945</v>
      </c>
      <c r="F1961" s="1">
        <v>626664.0</v>
      </c>
    </row>
    <row r="1962">
      <c r="A1962" s="1">
        <v>1961.0</v>
      </c>
      <c r="B1962" s="1" t="s">
        <v>1353</v>
      </c>
      <c r="C1962" s="1" t="s">
        <v>1016</v>
      </c>
      <c r="D1962" s="1">
        <v>2.0</v>
      </c>
      <c r="E1962" s="1" t="s">
        <v>945</v>
      </c>
      <c r="F1962" s="1">
        <v>74078.0</v>
      </c>
    </row>
    <row r="1963">
      <c r="A1963" s="1">
        <v>1962.0</v>
      </c>
      <c r="B1963" s="1" t="s">
        <v>412</v>
      </c>
      <c r="C1963" s="1" t="s">
        <v>1016</v>
      </c>
      <c r="D1963" s="1">
        <v>2.0</v>
      </c>
      <c r="E1963" s="1" t="s">
        <v>945</v>
      </c>
      <c r="F1963" s="1">
        <v>106201.0</v>
      </c>
    </row>
    <row r="1964">
      <c r="A1964" s="1">
        <v>1963.0</v>
      </c>
      <c r="B1964" s="1" t="s">
        <v>469</v>
      </c>
      <c r="C1964" s="1" t="s">
        <v>1016</v>
      </c>
      <c r="D1964" s="1">
        <v>2.0</v>
      </c>
      <c r="E1964" s="1" t="s">
        <v>945</v>
      </c>
      <c r="F1964" s="1">
        <v>1002198.0</v>
      </c>
    </row>
    <row r="1965">
      <c r="A1965" s="1">
        <v>1964.0</v>
      </c>
      <c r="B1965" s="1" t="s">
        <v>193</v>
      </c>
      <c r="C1965" s="1" t="s">
        <v>1016</v>
      </c>
      <c r="D1965" s="1">
        <v>2.0</v>
      </c>
      <c r="E1965" s="1" t="s">
        <v>945</v>
      </c>
      <c r="F1965" s="1">
        <v>63765.0</v>
      </c>
    </row>
    <row r="1966">
      <c r="A1966" s="1">
        <v>1965.0</v>
      </c>
      <c r="B1966" s="1" t="s">
        <v>1354</v>
      </c>
      <c r="C1966" s="1" t="s">
        <v>1016</v>
      </c>
      <c r="D1966" s="1">
        <v>2.0</v>
      </c>
      <c r="E1966" s="1" t="s">
        <v>945</v>
      </c>
      <c r="F1966" s="1">
        <v>276376.0</v>
      </c>
    </row>
    <row r="1967">
      <c r="A1967" s="1">
        <v>1966.0</v>
      </c>
      <c r="B1967" s="1" t="s">
        <v>1355</v>
      </c>
      <c r="C1967" s="1" t="s">
        <v>1016</v>
      </c>
      <c r="D1967" s="1">
        <v>2.0</v>
      </c>
      <c r="E1967" s="1" t="s">
        <v>945</v>
      </c>
      <c r="F1967" s="1">
        <v>245202.0</v>
      </c>
    </row>
    <row r="1968">
      <c r="A1968" s="1">
        <v>1967.0</v>
      </c>
      <c r="B1968" s="5" t="s">
        <v>1356</v>
      </c>
      <c r="C1968" s="1" t="s">
        <v>1016</v>
      </c>
      <c r="D1968" s="1">
        <v>2.0</v>
      </c>
      <c r="E1968" s="1" t="s">
        <v>945</v>
      </c>
      <c r="F1968" s="1">
        <v>504107.0</v>
      </c>
    </row>
    <row r="1969">
      <c r="A1969" s="1">
        <v>1968.0</v>
      </c>
      <c r="B1969" s="1" t="s">
        <v>804</v>
      </c>
      <c r="C1969" s="1" t="s">
        <v>1016</v>
      </c>
      <c r="D1969" s="1">
        <v>2.0</v>
      </c>
      <c r="E1969" s="1" t="s">
        <v>945</v>
      </c>
      <c r="F1969" s="1">
        <v>21273.0</v>
      </c>
    </row>
    <row r="1970">
      <c r="A1970" s="1">
        <v>1969.0</v>
      </c>
      <c r="B1970" s="1" t="s">
        <v>878</v>
      </c>
      <c r="C1970" s="1" t="s">
        <v>1016</v>
      </c>
      <c r="D1970" s="1">
        <v>2.0</v>
      </c>
      <c r="E1970" s="1" t="s">
        <v>945</v>
      </c>
      <c r="F1970" s="1">
        <v>447676.0</v>
      </c>
    </row>
    <row r="1971">
      <c r="A1971" s="1">
        <v>1970.0</v>
      </c>
      <c r="B1971" s="1" t="s">
        <v>43</v>
      </c>
      <c r="C1971" s="1" t="s">
        <v>1016</v>
      </c>
      <c r="D1971" s="1">
        <v>2.0</v>
      </c>
      <c r="E1971" s="1" t="s">
        <v>945</v>
      </c>
      <c r="F1971" s="1">
        <v>609381.0</v>
      </c>
    </row>
    <row r="1972">
      <c r="A1972" s="1">
        <v>1971.0</v>
      </c>
      <c r="B1972" s="1" t="s">
        <v>1357</v>
      </c>
      <c r="C1972" s="1" t="s">
        <v>1016</v>
      </c>
      <c r="D1972" s="1">
        <v>2.0</v>
      </c>
      <c r="E1972" s="1" t="s">
        <v>945</v>
      </c>
      <c r="F1972" s="1">
        <v>28402.0</v>
      </c>
    </row>
    <row r="1973">
      <c r="A1973" s="1">
        <v>1972.0</v>
      </c>
      <c r="B1973" s="1" t="s">
        <v>1358</v>
      </c>
      <c r="C1973" s="1" t="s">
        <v>1016</v>
      </c>
      <c r="D1973" s="1">
        <v>2.0</v>
      </c>
      <c r="E1973" s="1" t="s">
        <v>945</v>
      </c>
      <c r="F1973" s="1">
        <v>15617.0</v>
      </c>
    </row>
    <row r="1974">
      <c r="A1974" s="1">
        <v>1973.0</v>
      </c>
      <c r="B1974" s="1" t="s">
        <v>1030</v>
      </c>
      <c r="C1974" s="1" t="s">
        <v>1016</v>
      </c>
      <c r="D1974" s="1">
        <v>2.0</v>
      </c>
      <c r="E1974" s="1" t="s">
        <v>945</v>
      </c>
      <c r="F1974" s="1">
        <v>1187386.0</v>
      </c>
    </row>
    <row r="1975">
      <c r="A1975" s="1">
        <v>1974.0</v>
      </c>
      <c r="B1975" s="1" t="s">
        <v>1359</v>
      </c>
      <c r="C1975" s="1" t="s">
        <v>1016</v>
      </c>
      <c r="D1975" s="1">
        <v>2.0</v>
      </c>
      <c r="E1975" s="1" t="s">
        <v>945</v>
      </c>
      <c r="F1975" s="1">
        <v>687251.0</v>
      </c>
    </row>
    <row r="1976">
      <c r="A1976" s="1">
        <v>1975.0</v>
      </c>
      <c r="B1976" s="1" t="s">
        <v>1360</v>
      </c>
      <c r="C1976" s="1" t="s">
        <v>1016</v>
      </c>
      <c r="D1976" s="1">
        <v>2.0</v>
      </c>
      <c r="E1976" s="1" t="s">
        <v>945</v>
      </c>
      <c r="F1976" s="1">
        <v>29580.0</v>
      </c>
    </row>
    <row r="1977">
      <c r="A1977" s="1">
        <v>1976.0</v>
      </c>
      <c r="B1977" s="1" t="s">
        <v>1361</v>
      </c>
      <c r="C1977" s="1" t="s">
        <v>1016</v>
      </c>
      <c r="D1977" s="1">
        <v>2.0</v>
      </c>
      <c r="E1977" s="1" t="s">
        <v>945</v>
      </c>
      <c r="F1977" s="1">
        <v>12060.0</v>
      </c>
    </row>
    <row r="1978">
      <c r="A1978" s="1">
        <v>1977.0</v>
      </c>
      <c r="B1978" s="1" t="s">
        <v>238</v>
      </c>
      <c r="C1978" s="1" t="s">
        <v>1016</v>
      </c>
      <c r="D1978" s="1">
        <v>2.0</v>
      </c>
      <c r="E1978" s="1" t="s">
        <v>945</v>
      </c>
      <c r="F1978" s="1">
        <v>36728.0</v>
      </c>
    </row>
    <row r="1979">
      <c r="A1979" s="1">
        <v>1978.0</v>
      </c>
      <c r="B1979" s="1" t="s">
        <v>631</v>
      </c>
      <c r="C1979" s="1" t="s">
        <v>1016</v>
      </c>
      <c r="D1979" s="1">
        <v>2.0</v>
      </c>
      <c r="E1979" s="1" t="s">
        <v>945</v>
      </c>
      <c r="F1979" s="1">
        <v>105868.0</v>
      </c>
    </row>
    <row r="1980">
      <c r="A1980" s="1">
        <v>1979.0</v>
      </c>
      <c r="B1980" s="1" t="s">
        <v>8</v>
      </c>
      <c r="C1980" s="1" t="s">
        <v>1016</v>
      </c>
      <c r="D1980" s="1">
        <v>2.0</v>
      </c>
      <c r="E1980" s="1" t="s">
        <v>945</v>
      </c>
      <c r="F1980" s="1">
        <v>998289.0</v>
      </c>
    </row>
    <row r="1981">
      <c r="A1981" s="1">
        <v>1980.0</v>
      </c>
      <c r="B1981" s="1" t="s">
        <v>1362</v>
      </c>
      <c r="C1981" s="1" t="s">
        <v>1016</v>
      </c>
      <c r="D1981" s="1">
        <v>2.0</v>
      </c>
      <c r="E1981" s="1" t="s">
        <v>945</v>
      </c>
      <c r="F1981" s="1">
        <v>8062.0</v>
      </c>
    </row>
    <row r="1982">
      <c r="A1982" s="1">
        <v>1981.0</v>
      </c>
      <c r="B1982" s="1" t="s">
        <v>176</v>
      </c>
      <c r="C1982" s="1" t="s">
        <v>1016</v>
      </c>
      <c r="D1982" s="1">
        <v>2.0</v>
      </c>
      <c r="E1982" s="1" t="s">
        <v>945</v>
      </c>
      <c r="F1982" s="1">
        <v>12555.0</v>
      </c>
    </row>
    <row r="1983">
      <c r="A1983" s="1">
        <v>1982.0</v>
      </c>
      <c r="B1983" s="1" t="s">
        <v>1363</v>
      </c>
      <c r="C1983" s="1" t="s">
        <v>1016</v>
      </c>
      <c r="D1983" s="1">
        <v>2.0</v>
      </c>
      <c r="E1983" s="1" t="s">
        <v>945</v>
      </c>
      <c r="F1983" s="1">
        <v>139072.0</v>
      </c>
    </row>
    <row r="1984">
      <c r="A1984" s="1">
        <v>1983.0</v>
      </c>
      <c r="B1984" s="1" t="s">
        <v>1364</v>
      </c>
      <c r="C1984" s="1" t="s">
        <v>1016</v>
      </c>
      <c r="D1984" s="1">
        <v>2.0</v>
      </c>
      <c r="E1984" s="1" t="s">
        <v>945</v>
      </c>
      <c r="F1984" s="1">
        <v>79.0</v>
      </c>
    </row>
    <row r="1985">
      <c r="A1985" s="1">
        <v>1984.0</v>
      </c>
      <c r="B1985" s="1" t="s">
        <v>980</v>
      </c>
      <c r="C1985" s="1" t="s">
        <v>1016</v>
      </c>
      <c r="D1985" s="1">
        <v>2.0</v>
      </c>
      <c r="E1985" s="1" t="s">
        <v>945</v>
      </c>
      <c r="F1985" s="1">
        <v>511779.0</v>
      </c>
    </row>
    <row r="1986">
      <c r="A1986" s="1">
        <v>1985.0</v>
      </c>
      <c r="B1986" s="1" t="s">
        <v>544</v>
      </c>
      <c r="C1986" s="1" t="s">
        <v>1016</v>
      </c>
      <c r="D1986" s="1">
        <v>2.0</v>
      </c>
      <c r="E1986" s="1" t="s">
        <v>945</v>
      </c>
      <c r="F1986" s="1">
        <v>35342.0</v>
      </c>
    </row>
    <row r="1987">
      <c r="A1987" s="1">
        <v>1986.0</v>
      </c>
      <c r="B1987" s="1" t="s">
        <v>1365</v>
      </c>
      <c r="C1987" s="1" t="s">
        <v>1016</v>
      </c>
      <c r="D1987" s="1">
        <v>2.0</v>
      </c>
      <c r="E1987" s="1" t="s">
        <v>945</v>
      </c>
      <c r="F1987" s="1">
        <v>1242641.0</v>
      </c>
    </row>
    <row r="1988">
      <c r="A1988" s="1">
        <v>1987.0</v>
      </c>
      <c r="B1988" s="1" t="s">
        <v>211</v>
      </c>
      <c r="C1988" s="1" t="s">
        <v>1016</v>
      </c>
      <c r="D1988" s="1">
        <v>1.0</v>
      </c>
      <c r="E1988" s="1" t="s">
        <v>945</v>
      </c>
      <c r="F1988" s="1">
        <v>53744.0</v>
      </c>
    </row>
    <row r="1989">
      <c r="A1989" s="1">
        <v>1988.0</v>
      </c>
      <c r="B1989" s="1" t="s">
        <v>1366</v>
      </c>
      <c r="C1989" s="1" t="s">
        <v>1016</v>
      </c>
      <c r="D1989" s="1">
        <v>1.0</v>
      </c>
      <c r="E1989" s="1" t="s">
        <v>945</v>
      </c>
      <c r="F1989" s="1">
        <v>200977.0</v>
      </c>
    </row>
    <row r="1990">
      <c r="A1990" s="1">
        <v>1989.0</v>
      </c>
      <c r="B1990" s="1" t="s">
        <v>1367</v>
      </c>
      <c r="C1990" s="1" t="s">
        <v>1016</v>
      </c>
      <c r="D1990" s="1">
        <v>1.0</v>
      </c>
      <c r="E1990" s="1" t="s">
        <v>945</v>
      </c>
      <c r="F1990" s="1">
        <v>11472.0</v>
      </c>
    </row>
    <row r="1991">
      <c r="A1991" s="1">
        <v>1990.0</v>
      </c>
      <c r="B1991" s="1" t="s">
        <v>1368</v>
      </c>
      <c r="C1991" s="1" t="s">
        <v>1016</v>
      </c>
      <c r="D1991" s="1">
        <v>1.0</v>
      </c>
      <c r="E1991" s="1" t="s">
        <v>945</v>
      </c>
      <c r="F1991" s="1">
        <v>555.0</v>
      </c>
    </row>
    <row r="1992">
      <c r="A1992" s="1">
        <v>1991.0</v>
      </c>
      <c r="B1992" s="1" t="s">
        <v>173</v>
      </c>
      <c r="C1992" s="1" t="s">
        <v>1016</v>
      </c>
      <c r="D1992" s="1">
        <v>1.0</v>
      </c>
      <c r="E1992" s="1" t="s">
        <v>945</v>
      </c>
      <c r="F1992" s="1">
        <v>1.0</v>
      </c>
    </row>
    <row r="1993">
      <c r="A1993" s="1">
        <v>1992.0</v>
      </c>
      <c r="B1993" s="1" t="s">
        <v>1369</v>
      </c>
      <c r="C1993" s="1" t="s">
        <v>1016</v>
      </c>
      <c r="D1993" s="1">
        <v>1.0</v>
      </c>
      <c r="E1993" s="1" t="s">
        <v>945</v>
      </c>
      <c r="F1993" s="1">
        <v>401953.0</v>
      </c>
    </row>
    <row r="1994">
      <c r="A1994" s="1">
        <v>1993.0</v>
      </c>
      <c r="B1994" s="1" t="s">
        <v>432</v>
      </c>
      <c r="C1994" s="1" t="s">
        <v>1016</v>
      </c>
      <c r="D1994" s="1">
        <v>1.0</v>
      </c>
      <c r="E1994" s="1" t="s">
        <v>945</v>
      </c>
      <c r="F1994" s="1">
        <v>876909.0</v>
      </c>
    </row>
    <row r="1995">
      <c r="A1995" s="1">
        <v>1994.0</v>
      </c>
      <c r="B1995" s="1" t="s">
        <v>995</v>
      </c>
      <c r="C1995" s="1" t="s">
        <v>1016</v>
      </c>
      <c r="D1995" s="1">
        <v>1.0</v>
      </c>
      <c r="E1995" s="1" t="s">
        <v>945</v>
      </c>
      <c r="F1995" s="1">
        <v>72.0</v>
      </c>
    </row>
    <row r="1996">
      <c r="A1996" s="1">
        <v>1995.0</v>
      </c>
      <c r="B1996" s="1" t="s">
        <v>1370</v>
      </c>
      <c r="C1996" s="1" t="s">
        <v>1016</v>
      </c>
      <c r="D1996" s="1">
        <v>1.0</v>
      </c>
      <c r="E1996" s="1" t="s">
        <v>945</v>
      </c>
      <c r="F1996" s="1">
        <v>92.0</v>
      </c>
    </row>
    <row r="1997">
      <c r="A1997" s="1">
        <v>1996.0</v>
      </c>
      <c r="B1997" s="1" t="s">
        <v>1371</v>
      </c>
      <c r="C1997" s="1" t="s">
        <v>1016</v>
      </c>
      <c r="D1997" s="1">
        <v>1.0</v>
      </c>
      <c r="E1997" s="1" t="s">
        <v>945</v>
      </c>
      <c r="F1997" s="1">
        <v>51.0</v>
      </c>
    </row>
    <row r="1998">
      <c r="A1998" s="1">
        <v>1997.0</v>
      </c>
      <c r="B1998" s="1" t="s">
        <v>1372</v>
      </c>
      <c r="C1998" s="1" t="s">
        <v>1016</v>
      </c>
      <c r="D1998" s="1">
        <v>1.0</v>
      </c>
      <c r="E1998" s="1" t="s">
        <v>945</v>
      </c>
      <c r="F1998" s="1">
        <v>103166.0</v>
      </c>
    </row>
    <row r="1999">
      <c r="A1999" s="1">
        <v>1998.0</v>
      </c>
      <c r="B1999" s="1" t="s">
        <v>1373</v>
      </c>
      <c r="C1999" s="1" t="s">
        <v>1016</v>
      </c>
      <c r="D1999" s="1">
        <v>1.0</v>
      </c>
      <c r="E1999" s="1" t="s">
        <v>945</v>
      </c>
      <c r="F1999" s="1">
        <v>12432.0</v>
      </c>
    </row>
    <row r="2000">
      <c r="A2000" s="1">
        <v>1999.0</v>
      </c>
      <c r="B2000" s="1" t="s">
        <v>795</v>
      </c>
      <c r="C2000" s="1" t="s">
        <v>1016</v>
      </c>
      <c r="D2000" s="1">
        <v>1.0</v>
      </c>
      <c r="E2000" s="1" t="s">
        <v>945</v>
      </c>
      <c r="F2000" s="1">
        <v>52060.0</v>
      </c>
    </row>
    <row r="2001">
      <c r="A2001" s="1">
        <v>2000.0</v>
      </c>
      <c r="B2001" s="1" t="s">
        <v>1374</v>
      </c>
      <c r="C2001" s="1" t="s">
        <v>1016</v>
      </c>
      <c r="D2001" s="1">
        <v>1.0</v>
      </c>
      <c r="E2001" s="1" t="s">
        <v>945</v>
      </c>
      <c r="F2001" s="1">
        <v>309497.0</v>
      </c>
    </row>
    <row r="2002">
      <c r="A2002" s="1">
        <v>2001.0</v>
      </c>
      <c r="B2002" s="1" t="s">
        <v>1375</v>
      </c>
      <c r="C2002" s="1" t="s">
        <v>1016</v>
      </c>
      <c r="D2002" s="1">
        <v>1.0</v>
      </c>
      <c r="E2002" s="1" t="s">
        <v>945</v>
      </c>
      <c r="F2002" s="1">
        <v>435472.0</v>
      </c>
    </row>
    <row r="2003">
      <c r="A2003" s="1">
        <v>2002.0</v>
      </c>
      <c r="B2003" s="1" t="s">
        <v>1376</v>
      </c>
      <c r="C2003" s="1" t="s">
        <v>1016</v>
      </c>
      <c r="D2003" s="1">
        <v>1.0</v>
      </c>
      <c r="E2003" s="1" t="s">
        <v>945</v>
      </c>
      <c r="F2003" s="1">
        <v>23715.0</v>
      </c>
    </row>
    <row r="2004">
      <c r="A2004" s="1">
        <v>2003.0</v>
      </c>
      <c r="B2004" s="1" t="s">
        <v>1377</v>
      </c>
      <c r="C2004" s="1" t="s">
        <v>1016</v>
      </c>
      <c r="D2004" s="1">
        <v>1.0</v>
      </c>
      <c r="E2004" s="1" t="s">
        <v>945</v>
      </c>
      <c r="F2004" s="1">
        <v>42892.0</v>
      </c>
    </row>
    <row r="2005">
      <c r="A2005" s="1">
        <v>2004.0</v>
      </c>
      <c r="B2005" s="1" t="s">
        <v>1378</v>
      </c>
      <c r="C2005" s="1" t="s">
        <v>1016</v>
      </c>
      <c r="D2005" s="1">
        <v>1.0</v>
      </c>
      <c r="E2005" s="1" t="s">
        <v>945</v>
      </c>
      <c r="F2005" s="1">
        <v>122633.0</v>
      </c>
    </row>
    <row r="2006">
      <c r="A2006" s="1">
        <v>2005.0</v>
      </c>
      <c r="B2006" s="1" t="s">
        <v>1379</v>
      </c>
      <c r="C2006" s="1" t="s">
        <v>1016</v>
      </c>
      <c r="D2006" s="1">
        <v>1.0</v>
      </c>
      <c r="E2006" s="1" t="s">
        <v>945</v>
      </c>
      <c r="F2006" s="1">
        <v>156442.0</v>
      </c>
    </row>
    <row r="2007">
      <c r="A2007" s="1">
        <v>2006.0</v>
      </c>
      <c r="B2007" s="1" t="s">
        <v>1380</v>
      </c>
      <c r="C2007" s="1" t="s">
        <v>1016</v>
      </c>
      <c r="D2007" s="1">
        <v>1.0</v>
      </c>
      <c r="E2007" s="1" t="s">
        <v>945</v>
      </c>
      <c r="F2007" s="1">
        <v>719.0</v>
      </c>
    </row>
    <row r="2008">
      <c r="A2008" s="1">
        <v>2007.0</v>
      </c>
      <c r="B2008" s="1" t="s">
        <v>1381</v>
      </c>
      <c r="C2008" s="1" t="s">
        <v>1016</v>
      </c>
      <c r="D2008" s="1">
        <v>1.0</v>
      </c>
      <c r="E2008" s="1" t="s">
        <v>945</v>
      </c>
      <c r="F2008" s="1">
        <v>1296967.0</v>
      </c>
    </row>
    <row r="2009">
      <c r="A2009" s="1">
        <v>2008.0</v>
      </c>
      <c r="B2009" s="1" t="s">
        <v>1382</v>
      </c>
      <c r="C2009" s="1" t="s">
        <v>1016</v>
      </c>
      <c r="D2009" s="1">
        <v>1.0</v>
      </c>
      <c r="E2009" s="1" t="s">
        <v>945</v>
      </c>
      <c r="F2009" s="1">
        <v>151.0</v>
      </c>
    </row>
    <row r="2010">
      <c r="A2010" s="1">
        <v>2009.0</v>
      </c>
      <c r="B2010" s="1" t="s">
        <v>1383</v>
      </c>
      <c r="C2010" s="1" t="s">
        <v>1016</v>
      </c>
      <c r="D2010" s="1">
        <v>1.0</v>
      </c>
      <c r="E2010" s="1" t="s">
        <v>945</v>
      </c>
      <c r="F2010" s="1">
        <v>20147.0</v>
      </c>
    </row>
    <row r="2011">
      <c r="A2011" s="1">
        <v>2010.0</v>
      </c>
      <c r="B2011" s="1" t="s">
        <v>1384</v>
      </c>
      <c r="C2011" s="1" t="s">
        <v>1016</v>
      </c>
      <c r="D2011" s="1">
        <v>1.0</v>
      </c>
      <c r="E2011" s="1" t="s">
        <v>945</v>
      </c>
      <c r="F2011" s="1">
        <v>1336653.0</v>
      </c>
    </row>
    <row r="2012">
      <c r="A2012" s="1">
        <v>2011.0</v>
      </c>
      <c r="B2012" s="1" t="s">
        <v>1385</v>
      </c>
      <c r="C2012" s="1" t="s">
        <v>1016</v>
      </c>
      <c r="D2012" s="1">
        <v>1.0</v>
      </c>
      <c r="E2012" s="1" t="s">
        <v>945</v>
      </c>
      <c r="F2012" s="1">
        <v>59.0</v>
      </c>
    </row>
    <row r="2013">
      <c r="A2013" s="1">
        <v>2012.0</v>
      </c>
      <c r="B2013" s="1" t="s">
        <v>1386</v>
      </c>
      <c r="C2013" s="1" t="s">
        <v>1016</v>
      </c>
      <c r="D2013" s="1">
        <v>1.0</v>
      </c>
      <c r="E2013" s="1" t="s">
        <v>945</v>
      </c>
      <c r="F2013" s="1">
        <v>12422.0</v>
      </c>
    </row>
    <row r="2014">
      <c r="A2014" s="1">
        <v>2013.0</v>
      </c>
      <c r="B2014" s="1" t="s">
        <v>1387</v>
      </c>
      <c r="C2014" s="1" t="s">
        <v>1016</v>
      </c>
      <c r="D2014" s="1">
        <v>1.0</v>
      </c>
      <c r="E2014" s="1" t="s">
        <v>945</v>
      </c>
      <c r="F2014" s="1">
        <v>32941.0</v>
      </c>
    </row>
    <row r="2015">
      <c r="A2015" s="1">
        <v>2014.0</v>
      </c>
      <c r="B2015" s="1" t="s">
        <v>257</v>
      </c>
      <c r="C2015" s="1" t="s">
        <v>1016</v>
      </c>
      <c r="D2015" s="1">
        <v>1.0</v>
      </c>
      <c r="E2015" s="1" t="s">
        <v>945</v>
      </c>
      <c r="F2015" s="1">
        <v>33794.0</v>
      </c>
    </row>
    <row r="2016">
      <c r="A2016" s="1">
        <v>2015.0</v>
      </c>
      <c r="B2016" s="1" t="s">
        <v>1388</v>
      </c>
      <c r="C2016" s="1" t="s">
        <v>1016</v>
      </c>
      <c r="D2016" s="1">
        <v>1.0</v>
      </c>
      <c r="E2016" s="1" t="s">
        <v>945</v>
      </c>
      <c r="F2016" s="1">
        <v>34931.0</v>
      </c>
    </row>
    <row r="2017">
      <c r="A2017" s="1">
        <v>2016.0</v>
      </c>
      <c r="B2017" s="1" t="s">
        <v>8</v>
      </c>
      <c r="C2017" s="1" t="s">
        <v>1389</v>
      </c>
      <c r="D2017" s="1">
        <v>46.0</v>
      </c>
      <c r="E2017" s="1" t="s">
        <v>7</v>
      </c>
      <c r="F2017" s="1">
        <v>816692.0</v>
      </c>
    </row>
    <row r="2018">
      <c r="A2018" s="1">
        <v>2017.0</v>
      </c>
      <c r="B2018" s="1" t="s">
        <v>9</v>
      </c>
      <c r="C2018" s="1" t="s">
        <v>1389</v>
      </c>
      <c r="D2018" s="1">
        <v>40.0</v>
      </c>
      <c r="E2018" s="1" t="s">
        <v>7</v>
      </c>
      <c r="F2018" s="1">
        <v>510646.0</v>
      </c>
    </row>
    <row r="2019">
      <c r="A2019" s="1">
        <v>2018.0</v>
      </c>
      <c r="B2019" s="1" t="s">
        <v>577</v>
      </c>
      <c r="C2019" s="1" t="s">
        <v>1389</v>
      </c>
      <c r="D2019" s="1">
        <v>32.0</v>
      </c>
      <c r="E2019" s="1" t="s">
        <v>7</v>
      </c>
      <c r="F2019" s="1">
        <v>437609.0</v>
      </c>
    </row>
    <row r="2020">
      <c r="A2020" s="1">
        <v>2019.0</v>
      </c>
      <c r="B2020" s="1" t="s">
        <v>38</v>
      </c>
      <c r="C2020" s="1" t="s">
        <v>1389</v>
      </c>
      <c r="D2020" s="1">
        <v>22.0</v>
      </c>
      <c r="E2020" s="1" t="s">
        <v>7</v>
      </c>
      <c r="F2020" s="1">
        <v>626072.0</v>
      </c>
    </row>
    <row r="2021">
      <c r="A2021" s="1">
        <v>2020.0</v>
      </c>
      <c r="B2021" s="1" t="s">
        <v>469</v>
      </c>
      <c r="C2021" s="1" t="s">
        <v>1389</v>
      </c>
      <c r="D2021" s="1">
        <v>20.0</v>
      </c>
      <c r="E2021" s="1" t="s">
        <v>7</v>
      </c>
      <c r="F2021" s="1">
        <v>1430729.0</v>
      </c>
    </row>
    <row r="2022">
      <c r="A2022" s="1">
        <v>2021.0</v>
      </c>
      <c r="B2022" s="1" t="s">
        <v>20</v>
      </c>
      <c r="C2022" s="1" t="s">
        <v>1389</v>
      </c>
      <c r="D2022" s="1">
        <v>16.0</v>
      </c>
      <c r="E2022" s="1" t="s">
        <v>7</v>
      </c>
      <c r="F2022" s="1">
        <v>1097825.0</v>
      </c>
    </row>
    <row r="2023">
      <c r="A2023" s="1">
        <v>2022.0</v>
      </c>
      <c r="B2023" s="1" t="s">
        <v>946</v>
      </c>
      <c r="C2023" s="1" t="s">
        <v>1389</v>
      </c>
      <c r="D2023" s="1">
        <v>15.0</v>
      </c>
      <c r="E2023" s="1" t="s">
        <v>7</v>
      </c>
      <c r="F2023" s="1">
        <v>795550.0</v>
      </c>
    </row>
    <row r="2024">
      <c r="A2024" s="1">
        <v>2023.0</v>
      </c>
      <c r="B2024" s="1" t="s">
        <v>14</v>
      </c>
      <c r="C2024" s="1" t="s">
        <v>1389</v>
      </c>
      <c r="D2024" s="1">
        <v>14.0</v>
      </c>
      <c r="E2024" s="1" t="s">
        <v>7</v>
      </c>
      <c r="F2024" s="1">
        <v>677369.0</v>
      </c>
    </row>
    <row r="2025">
      <c r="A2025" s="1">
        <v>2024.0</v>
      </c>
      <c r="B2025" s="1" t="s">
        <v>12</v>
      </c>
      <c r="C2025" s="1" t="s">
        <v>1389</v>
      </c>
      <c r="D2025" s="1">
        <v>14.0</v>
      </c>
      <c r="E2025" s="1" t="s">
        <v>7</v>
      </c>
      <c r="F2025" s="1">
        <v>598946.0</v>
      </c>
    </row>
    <row r="2026">
      <c r="A2026" s="1">
        <v>2025.0</v>
      </c>
      <c r="B2026" s="1" t="s">
        <v>89</v>
      </c>
      <c r="C2026" s="1" t="s">
        <v>1389</v>
      </c>
      <c r="D2026" s="1">
        <v>14.0</v>
      </c>
      <c r="E2026" s="1" t="s">
        <v>7</v>
      </c>
      <c r="F2026" s="1">
        <v>1198603.0</v>
      </c>
    </row>
    <row r="2027">
      <c r="A2027" s="1">
        <v>2026.0</v>
      </c>
      <c r="B2027" s="1" t="s">
        <v>116</v>
      </c>
      <c r="C2027" s="1" t="s">
        <v>1389</v>
      </c>
      <c r="D2027" s="1">
        <v>13.0</v>
      </c>
      <c r="E2027" s="1" t="s">
        <v>7</v>
      </c>
      <c r="F2027" s="1">
        <v>52.0</v>
      </c>
    </row>
    <row r="2028">
      <c r="A2028" s="1">
        <v>2027.0</v>
      </c>
      <c r="B2028" s="1" t="s">
        <v>137</v>
      </c>
      <c r="C2028" s="1" t="s">
        <v>1389</v>
      </c>
      <c r="D2028" s="1">
        <v>12.0</v>
      </c>
      <c r="E2028" s="1" t="s">
        <v>7</v>
      </c>
      <c r="F2028" s="1">
        <v>1541682.0</v>
      </c>
    </row>
    <row r="2029">
      <c r="A2029" s="1">
        <v>2028.0</v>
      </c>
      <c r="B2029" s="1" t="s">
        <v>61</v>
      </c>
      <c r="C2029" s="1" t="s">
        <v>1389</v>
      </c>
      <c r="D2029" s="1">
        <v>11.0</v>
      </c>
      <c r="E2029" s="1" t="s">
        <v>7</v>
      </c>
      <c r="F2029" s="1">
        <v>568656.0</v>
      </c>
    </row>
    <row r="2030">
      <c r="A2030" s="1">
        <v>2029.0</v>
      </c>
      <c r="B2030" s="1" t="s">
        <v>27</v>
      </c>
      <c r="C2030" s="1" t="s">
        <v>1389</v>
      </c>
      <c r="D2030" s="1">
        <v>11.0</v>
      </c>
      <c r="E2030" s="1" t="s">
        <v>7</v>
      </c>
      <c r="F2030" s="1">
        <v>529773.0</v>
      </c>
    </row>
    <row r="2031">
      <c r="A2031" s="1">
        <v>2030.0</v>
      </c>
      <c r="B2031" s="1" t="s">
        <v>120</v>
      </c>
      <c r="C2031" s="1" t="s">
        <v>1389</v>
      </c>
      <c r="D2031" s="1">
        <v>11.0</v>
      </c>
      <c r="E2031" s="1" t="s">
        <v>7</v>
      </c>
      <c r="F2031" s="1">
        <v>1274504.0</v>
      </c>
    </row>
    <row r="2032">
      <c r="A2032" s="1">
        <v>2031.0</v>
      </c>
      <c r="B2032" s="1" t="s">
        <v>62</v>
      </c>
      <c r="C2032" s="1" t="s">
        <v>1389</v>
      </c>
      <c r="D2032" s="1">
        <v>10.0</v>
      </c>
      <c r="E2032" s="1" t="s">
        <v>7</v>
      </c>
      <c r="F2032" s="1">
        <v>1437808.0</v>
      </c>
    </row>
    <row r="2033">
      <c r="A2033" s="1">
        <v>2032.0</v>
      </c>
      <c r="B2033" s="1" t="s">
        <v>324</v>
      </c>
      <c r="C2033" s="1" t="s">
        <v>1389</v>
      </c>
      <c r="D2033" s="1">
        <v>10.0</v>
      </c>
      <c r="E2033" s="1" t="s">
        <v>7</v>
      </c>
      <c r="F2033" s="1">
        <v>590352.0</v>
      </c>
    </row>
    <row r="2034">
      <c r="A2034" s="1">
        <v>2033.0</v>
      </c>
      <c r="B2034" s="1" t="s">
        <v>16</v>
      </c>
      <c r="C2034" s="1" t="s">
        <v>1389</v>
      </c>
      <c r="D2034" s="1">
        <v>8.0</v>
      </c>
      <c r="E2034" s="1" t="s">
        <v>7</v>
      </c>
      <c r="F2034" s="1">
        <v>567458.0</v>
      </c>
    </row>
    <row r="2035">
      <c r="A2035" s="1">
        <v>2034.0</v>
      </c>
      <c r="B2035" s="1" t="s">
        <v>1390</v>
      </c>
      <c r="C2035" s="1" t="s">
        <v>1389</v>
      </c>
      <c r="D2035" s="1">
        <v>7.0</v>
      </c>
      <c r="E2035" s="1" t="s">
        <v>7</v>
      </c>
      <c r="F2035" s="1">
        <v>458749.0</v>
      </c>
    </row>
    <row r="2036">
      <c r="A2036" s="1">
        <v>2035.0</v>
      </c>
      <c r="B2036" s="1" t="s">
        <v>106</v>
      </c>
      <c r="C2036" s="1" t="s">
        <v>1389</v>
      </c>
      <c r="D2036" s="1">
        <v>7.0</v>
      </c>
      <c r="E2036" s="1" t="s">
        <v>7</v>
      </c>
      <c r="F2036" s="1">
        <v>534757.0</v>
      </c>
    </row>
    <row r="2037">
      <c r="A2037" s="1">
        <v>2036.0</v>
      </c>
      <c r="B2037" s="1" t="s">
        <v>391</v>
      </c>
      <c r="C2037" s="1" t="s">
        <v>1389</v>
      </c>
      <c r="D2037" s="1">
        <v>6.0</v>
      </c>
      <c r="E2037" s="1" t="s">
        <v>7</v>
      </c>
      <c r="F2037" s="1">
        <v>694460.0</v>
      </c>
    </row>
    <row r="2038">
      <c r="A2038" s="1">
        <v>2037.0</v>
      </c>
      <c r="B2038" s="1" t="s">
        <v>145</v>
      </c>
      <c r="C2038" s="1" t="s">
        <v>1389</v>
      </c>
      <c r="D2038" s="1">
        <v>6.0</v>
      </c>
      <c r="E2038" s="1" t="s">
        <v>7</v>
      </c>
      <c r="F2038" s="1">
        <v>1325345.0</v>
      </c>
    </row>
    <row r="2039">
      <c r="A2039" s="1">
        <v>2038.0</v>
      </c>
      <c r="B2039" s="1" t="s">
        <v>1391</v>
      </c>
      <c r="C2039" s="1" t="s">
        <v>1389</v>
      </c>
      <c r="D2039" s="1">
        <v>6.0</v>
      </c>
      <c r="E2039" s="1" t="s">
        <v>7</v>
      </c>
      <c r="F2039" s="1">
        <v>604706.0</v>
      </c>
    </row>
    <row r="2040">
      <c r="A2040" s="1">
        <v>2039.0</v>
      </c>
      <c r="B2040" s="1" t="s">
        <v>57</v>
      </c>
      <c r="C2040" s="1" t="s">
        <v>1389</v>
      </c>
      <c r="D2040" s="1">
        <v>6.0</v>
      </c>
      <c r="E2040" s="1" t="s">
        <v>7</v>
      </c>
      <c r="F2040" s="1">
        <v>514393.0</v>
      </c>
    </row>
    <row r="2041">
      <c r="A2041" s="1">
        <v>2040.0</v>
      </c>
      <c r="B2041" s="1" t="s">
        <v>1392</v>
      </c>
      <c r="C2041" s="1" t="s">
        <v>1389</v>
      </c>
      <c r="D2041" s="1">
        <v>6.0</v>
      </c>
      <c r="E2041" s="1" t="s">
        <v>7</v>
      </c>
      <c r="F2041" s="1">
        <v>791256.0</v>
      </c>
    </row>
    <row r="2042">
      <c r="A2042" s="1">
        <v>2041.0</v>
      </c>
      <c r="B2042" s="1" t="s">
        <v>620</v>
      </c>
      <c r="C2042" s="1" t="s">
        <v>1389</v>
      </c>
      <c r="D2042" s="1">
        <v>6.0</v>
      </c>
      <c r="E2042" s="1" t="s">
        <v>7</v>
      </c>
      <c r="F2042" s="1">
        <v>544680.0</v>
      </c>
    </row>
    <row r="2043">
      <c r="A2043" s="1">
        <v>2042.0</v>
      </c>
      <c r="B2043" s="1" t="s">
        <v>270</v>
      </c>
      <c r="C2043" s="1" t="s">
        <v>1389</v>
      </c>
      <c r="D2043" s="1">
        <v>6.0</v>
      </c>
      <c r="E2043" s="1" t="s">
        <v>7</v>
      </c>
      <c r="F2043" s="1">
        <v>586830.0</v>
      </c>
    </row>
    <row r="2044">
      <c r="A2044" s="1">
        <v>2043.0</v>
      </c>
      <c r="B2044" s="1" t="s">
        <v>257</v>
      </c>
      <c r="C2044" s="1" t="s">
        <v>1389</v>
      </c>
      <c r="D2044" s="1">
        <v>6.0</v>
      </c>
      <c r="E2044" s="1" t="s">
        <v>7</v>
      </c>
      <c r="F2044" s="1">
        <v>1648787.0</v>
      </c>
    </row>
    <row r="2045">
      <c r="A2045" s="1">
        <v>2044.0</v>
      </c>
      <c r="B2045" s="1" t="s">
        <v>5</v>
      </c>
      <c r="C2045" s="1" t="s">
        <v>1389</v>
      </c>
      <c r="D2045" s="1">
        <v>5.0</v>
      </c>
      <c r="E2045" s="1" t="s">
        <v>7</v>
      </c>
      <c r="F2045" s="1">
        <v>786846.0</v>
      </c>
    </row>
    <row r="2046">
      <c r="A2046" s="1">
        <v>2045.0</v>
      </c>
      <c r="B2046" s="1" t="s">
        <v>40</v>
      </c>
      <c r="C2046" s="1" t="s">
        <v>1389</v>
      </c>
      <c r="D2046" s="1">
        <v>5.0</v>
      </c>
      <c r="E2046" s="1" t="s">
        <v>7</v>
      </c>
      <c r="F2046" s="1">
        <v>854490.0</v>
      </c>
    </row>
    <row r="2047">
      <c r="A2047" s="1">
        <v>2046.0</v>
      </c>
      <c r="B2047" s="1" t="s">
        <v>1393</v>
      </c>
      <c r="C2047" s="1" t="s">
        <v>1389</v>
      </c>
      <c r="D2047" s="1">
        <v>5.0</v>
      </c>
      <c r="E2047" s="1" t="s">
        <v>7</v>
      </c>
      <c r="F2047" s="1">
        <v>60.0</v>
      </c>
    </row>
    <row r="2048">
      <c r="A2048" s="1">
        <v>2047.0</v>
      </c>
      <c r="B2048" s="1" t="s">
        <v>148</v>
      </c>
      <c r="C2048" s="1" t="s">
        <v>1389</v>
      </c>
      <c r="D2048" s="1">
        <v>5.0</v>
      </c>
      <c r="E2048" s="1" t="s">
        <v>7</v>
      </c>
      <c r="F2048" s="1">
        <v>962755.0</v>
      </c>
    </row>
    <row r="2049">
      <c r="A2049" s="1">
        <v>2048.0</v>
      </c>
      <c r="B2049" s="1" t="s">
        <v>52</v>
      </c>
      <c r="C2049" s="1" t="s">
        <v>1389</v>
      </c>
      <c r="D2049" s="1">
        <v>4.0</v>
      </c>
      <c r="E2049" s="1" t="s">
        <v>7</v>
      </c>
      <c r="F2049" s="1">
        <v>1159497.0</v>
      </c>
    </row>
    <row r="2050">
      <c r="A2050" s="1">
        <v>2049.0</v>
      </c>
      <c r="B2050" s="1" t="s">
        <v>35</v>
      </c>
      <c r="C2050" s="1" t="s">
        <v>1389</v>
      </c>
      <c r="D2050" s="1">
        <v>4.0</v>
      </c>
      <c r="E2050" s="1" t="s">
        <v>7</v>
      </c>
      <c r="F2050" s="1">
        <v>860820.0</v>
      </c>
    </row>
    <row r="2051">
      <c r="A2051" s="1">
        <v>2050.0</v>
      </c>
      <c r="B2051" s="1" t="s">
        <v>627</v>
      </c>
      <c r="C2051" s="1" t="s">
        <v>1389</v>
      </c>
      <c r="D2051" s="1">
        <v>4.0</v>
      </c>
      <c r="E2051" s="1" t="s">
        <v>7</v>
      </c>
      <c r="F2051" s="1">
        <v>1068485.0</v>
      </c>
    </row>
    <row r="2052">
      <c r="A2052" s="1">
        <v>2051.0</v>
      </c>
      <c r="B2052" s="1" t="s">
        <v>263</v>
      </c>
      <c r="C2052" s="1" t="s">
        <v>1389</v>
      </c>
      <c r="D2052" s="1">
        <v>4.0</v>
      </c>
      <c r="E2052" s="1" t="s">
        <v>7</v>
      </c>
      <c r="F2052" s="1">
        <v>2025552.0</v>
      </c>
    </row>
    <row r="2053">
      <c r="A2053" s="1">
        <v>2052.0</v>
      </c>
      <c r="B2053" s="1" t="s">
        <v>56</v>
      </c>
      <c r="C2053" s="1" t="s">
        <v>1389</v>
      </c>
      <c r="D2053" s="1">
        <v>4.0</v>
      </c>
      <c r="E2053" s="1" t="s">
        <v>7</v>
      </c>
      <c r="F2053" s="1">
        <v>2011380.0</v>
      </c>
    </row>
    <row r="2054">
      <c r="A2054" s="1">
        <v>2053.0</v>
      </c>
      <c r="B2054" s="1" t="s">
        <v>1394</v>
      </c>
      <c r="C2054" s="1" t="s">
        <v>1389</v>
      </c>
      <c r="D2054" s="1">
        <v>4.0</v>
      </c>
      <c r="E2054" s="1" t="s">
        <v>7</v>
      </c>
      <c r="F2054" s="1">
        <v>584254.0</v>
      </c>
    </row>
    <row r="2055">
      <c r="A2055" s="1">
        <v>2054.0</v>
      </c>
      <c r="B2055" s="1" t="s">
        <v>45</v>
      </c>
      <c r="C2055" s="1" t="s">
        <v>1389</v>
      </c>
      <c r="D2055" s="1">
        <v>4.0</v>
      </c>
      <c r="E2055" s="1" t="s">
        <v>7</v>
      </c>
      <c r="F2055" s="1">
        <v>1006527.0</v>
      </c>
    </row>
    <row r="2056">
      <c r="A2056" s="1">
        <v>2055.0</v>
      </c>
      <c r="B2056" s="5" t="s">
        <v>1395</v>
      </c>
      <c r="C2056" s="1" t="s">
        <v>1389</v>
      </c>
      <c r="D2056" s="1">
        <v>4.0</v>
      </c>
      <c r="E2056" s="1" t="s">
        <v>7</v>
      </c>
      <c r="F2056" s="1">
        <v>21083.0</v>
      </c>
    </row>
    <row r="2057">
      <c r="A2057" s="1">
        <v>2056.0</v>
      </c>
      <c r="B2057" s="1" t="s">
        <v>80</v>
      </c>
      <c r="C2057" s="1" t="s">
        <v>1389</v>
      </c>
      <c r="D2057" s="1">
        <v>4.0</v>
      </c>
      <c r="E2057" s="1" t="s">
        <v>7</v>
      </c>
      <c r="F2057" s="1">
        <v>860699.0</v>
      </c>
    </row>
    <row r="2058">
      <c r="A2058" s="1">
        <v>2057.0</v>
      </c>
      <c r="B2058" s="1" t="s">
        <v>21</v>
      </c>
      <c r="C2058" s="1" t="s">
        <v>1389</v>
      </c>
      <c r="D2058" s="1">
        <v>4.0</v>
      </c>
      <c r="E2058" s="1" t="s">
        <v>7</v>
      </c>
      <c r="F2058" s="1">
        <v>1225041.0</v>
      </c>
    </row>
    <row r="2059">
      <c r="A2059" s="1">
        <v>2058.0</v>
      </c>
      <c r="B2059" s="1" t="s">
        <v>1396</v>
      </c>
      <c r="C2059" s="1" t="s">
        <v>1389</v>
      </c>
      <c r="D2059" s="1">
        <v>4.0</v>
      </c>
      <c r="E2059" s="1" t="s">
        <v>7</v>
      </c>
      <c r="F2059" s="1">
        <v>1178751.0</v>
      </c>
    </row>
    <row r="2060">
      <c r="A2060" s="1">
        <v>2059.0</v>
      </c>
      <c r="B2060" s="1" t="s">
        <v>258</v>
      </c>
      <c r="C2060" s="1" t="s">
        <v>1389</v>
      </c>
      <c r="D2060" s="1">
        <v>3.0</v>
      </c>
      <c r="E2060" s="1" t="s">
        <v>7</v>
      </c>
      <c r="F2060" s="1">
        <v>2166482.0</v>
      </c>
    </row>
    <row r="2061">
      <c r="A2061" s="1">
        <v>2060.0</v>
      </c>
      <c r="B2061" s="1" t="s">
        <v>773</v>
      </c>
      <c r="C2061" s="1" t="s">
        <v>1389</v>
      </c>
      <c r="D2061" s="1">
        <v>3.0</v>
      </c>
      <c r="E2061" s="1" t="s">
        <v>7</v>
      </c>
      <c r="F2061" s="1">
        <v>453157.0</v>
      </c>
    </row>
    <row r="2062">
      <c r="A2062" s="1">
        <v>2061.0</v>
      </c>
      <c r="B2062" s="1" t="s">
        <v>232</v>
      </c>
      <c r="C2062" s="1" t="s">
        <v>1389</v>
      </c>
      <c r="D2062" s="1">
        <v>3.0</v>
      </c>
      <c r="E2062" s="1" t="s">
        <v>7</v>
      </c>
      <c r="F2062" s="1">
        <v>471709.0</v>
      </c>
    </row>
    <row r="2063">
      <c r="A2063" s="1">
        <v>2062.0</v>
      </c>
      <c r="B2063" s="1" t="s">
        <v>220</v>
      </c>
      <c r="C2063" s="1" t="s">
        <v>1389</v>
      </c>
      <c r="D2063" s="1">
        <v>3.0</v>
      </c>
      <c r="E2063" s="1" t="s">
        <v>7</v>
      </c>
      <c r="F2063" s="1">
        <v>170.0</v>
      </c>
    </row>
    <row r="2064">
      <c r="A2064" s="1">
        <v>2063.0</v>
      </c>
      <c r="B2064" s="1" t="s">
        <v>1397</v>
      </c>
      <c r="C2064" s="1" t="s">
        <v>1389</v>
      </c>
      <c r="D2064" s="1">
        <v>3.0</v>
      </c>
      <c r="E2064" s="1" t="s">
        <v>7</v>
      </c>
      <c r="F2064" s="1">
        <v>65.0</v>
      </c>
    </row>
    <row r="2065">
      <c r="A2065" s="1">
        <v>2064.0</v>
      </c>
      <c r="B2065" s="1" t="s">
        <v>437</v>
      </c>
      <c r="C2065" s="1" t="s">
        <v>1389</v>
      </c>
      <c r="D2065" s="1">
        <v>3.0</v>
      </c>
      <c r="E2065" s="1" t="s">
        <v>7</v>
      </c>
      <c r="F2065" s="1">
        <v>860576.0</v>
      </c>
    </row>
    <row r="2066">
      <c r="A2066" s="1">
        <v>2065.0</v>
      </c>
      <c r="B2066" s="1" t="s">
        <v>128</v>
      </c>
      <c r="C2066" s="1" t="s">
        <v>1389</v>
      </c>
      <c r="D2066" s="1">
        <v>3.0</v>
      </c>
      <c r="E2066" s="1" t="s">
        <v>7</v>
      </c>
      <c r="F2066" s="1">
        <v>1158850.0</v>
      </c>
    </row>
    <row r="2067">
      <c r="A2067" s="1">
        <v>2066.0</v>
      </c>
      <c r="B2067" s="1" t="s">
        <v>392</v>
      </c>
      <c r="C2067" s="1" t="s">
        <v>1389</v>
      </c>
      <c r="D2067" s="1">
        <v>3.0</v>
      </c>
      <c r="E2067" s="1" t="s">
        <v>7</v>
      </c>
      <c r="F2067" s="1">
        <v>917.0</v>
      </c>
    </row>
    <row r="2068">
      <c r="A2068" s="1">
        <v>2067.0</v>
      </c>
      <c r="B2068" s="1" t="s">
        <v>1271</v>
      </c>
      <c r="C2068" s="1" t="s">
        <v>1389</v>
      </c>
      <c r="D2068" s="1">
        <v>3.0</v>
      </c>
      <c r="E2068" s="1" t="s">
        <v>7</v>
      </c>
      <c r="F2068" s="1">
        <v>1863568.0</v>
      </c>
    </row>
    <row r="2069">
      <c r="A2069" s="1">
        <v>2068.0</v>
      </c>
      <c r="B2069" s="1" t="s">
        <v>23</v>
      </c>
      <c r="C2069" s="1" t="s">
        <v>1389</v>
      </c>
      <c r="D2069" s="1">
        <v>3.0</v>
      </c>
      <c r="E2069" s="1" t="s">
        <v>7</v>
      </c>
      <c r="F2069" s="1">
        <v>966230.0</v>
      </c>
    </row>
    <row r="2070">
      <c r="A2070" s="1">
        <v>2069.0</v>
      </c>
      <c r="B2070" s="1" t="s">
        <v>50</v>
      </c>
      <c r="C2070" s="1" t="s">
        <v>1389</v>
      </c>
      <c r="D2070" s="1">
        <v>3.0</v>
      </c>
      <c r="E2070" s="1" t="s">
        <v>7</v>
      </c>
      <c r="F2070" s="1">
        <v>865117.0</v>
      </c>
    </row>
    <row r="2071">
      <c r="A2071" s="1">
        <v>2070.0</v>
      </c>
      <c r="B2071" s="1" t="s">
        <v>25</v>
      </c>
      <c r="C2071" s="1" t="s">
        <v>1389</v>
      </c>
      <c r="D2071" s="1">
        <v>3.0</v>
      </c>
      <c r="E2071" s="1" t="s">
        <v>7</v>
      </c>
      <c r="F2071" s="1">
        <v>870216.0</v>
      </c>
    </row>
    <row r="2072">
      <c r="A2072" s="1">
        <v>2071.0</v>
      </c>
      <c r="B2072" s="1" t="s">
        <v>112</v>
      </c>
      <c r="C2072" s="1" t="s">
        <v>1389</v>
      </c>
      <c r="D2072" s="1">
        <v>3.0</v>
      </c>
      <c r="E2072" s="1" t="s">
        <v>7</v>
      </c>
      <c r="F2072" s="1">
        <v>1130119.0</v>
      </c>
    </row>
    <row r="2073">
      <c r="A2073" s="1">
        <v>2072.0</v>
      </c>
      <c r="B2073" s="1" t="s">
        <v>39</v>
      </c>
      <c r="C2073" s="1" t="s">
        <v>1389</v>
      </c>
      <c r="D2073" s="1">
        <v>3.0</v>
      </c>
      <c r="E2073" s="1" t="s">
        <v>7</v>
      </c>
      <c r="F2073" s="1">
        <v>916251.0</v>
      </c>
    </row>
    <row r="2074">
      <c r="A2074" s="1">
        <v>2073.0</v>
      </c>
      <c r="B2074" s="1" t="s">
        <v>221</v>
      </c>
      <c r="C2074" s="1" t="s">
        <v>1389</v>
      </c>
      <c r="D2074" s="1">
        <v>2.0</v>
      </c>
      <c r="E2074" s="1" t="s">
        <v>7</v>
      </c>
      <c r="F2074" s="1">
        <v>707877.0</v>
      </c>
    </row>
    <row r="2075">
      <c r="A2075" s="1">
        <v>2074.0</v>
      </c>
      <c r="B2075" s="1" t="s">
        <v>1398</v>
      </c>
      <c r="C2075" s="1" t="s">
        <v>1389</v>
      </c>
      <c r="D2075" s="1">
        <v>2.0</v>
      </c>
      <c r="E2075" s="1" t="s">
        <v>7</v>
      </c>
      <c r="F2075" s="1">
        <v>820984.0</v>
      </c>
    </row>
    <row r="2076">
      <c r="A2076" s="1">
        <v>2075.0</v>
      </c>
      <c r="B2076" s="1" t="s">
        <v>104</v>
      </c>
      <c r="C2076" s="1" t="s">
        <v>1389</v>
      </c>
      <c r="D2076" s="1">
        <v>2.0</v>
      </c>
      <c r="E2076" s="1" t="s">
        <v>7</v>
      </c>
      <c r="F2076" s="1">
        <v>628661.0</v>
      </c>
    </row>
    <row r="2077">
      <c r="A2077" s="1">
        <v>2076.0</v>
      </c>
      <c r="B2077" s="1" t="s">
        <v>1399</v>
      </c>
      <c r="C2077" s="1" t="s">
        <v>1389</v>
      </c>
      <c r="D2077" s="1">
        <v>2.0</v>
      </c>
      <c r="E2077" s="1" t="s">
        <v>7</v>
      </c>
      <c r="F2077" s="1">
        <v>97061.0</v>
      </c>
    </row>
    <row r="2078">
      <c r="A2078" s="1">
        <v>2077.0</v>
      </c>
      <c r="B2078" s="1" t="s">
        <v>805</v>
      </c>
      <c r="C2078" s="1" t="s">
        <v>1389</v>
      </c>
      <c r="D2078" s="1">
        <v>2.0</v>
      </c>
      <c r="E2078" s="1" t="s">
        <v>7</v>
      </c>
      <c r="F2078" s="1">
        <v>721501.0</v>
      </c>
    </row>
    <row r="2079">
      <c r="A2079" s="1">
        <v>2078.0</v>
      </c>
      <c r="B2079" s="1" t="s">
        <v>53</v>
      </c>
      <c r="C2079" s="1" t="s">
        <v>1389</v>
      </c>
      <c r="D2079" s="1">
        <v>2.0</v>
      </c>
      <c r="E2079" s="1" t="s">
        <v>7</v>
      </c>
      <c r="F2079" s="1">
        <v>1764290.0</v>
      </c>
    </row>
    <row r="2080">
      <c r="A2080" s="1">
        <v>2079.0</v>
      </c>
      <c r="B2080" s="1" t="s">
        <v>1400</v>
      </c>
      <c r="C2080" s="1" t="s">
        <v>1389</v>
      </c>
      <c r="D2080" s="1">
        <v>2.0</v>
      </c>
      <c r="E2080" s="1" t="s">
        <v>7</v>
      </c>
      <c r="F2080" s="1">
        <v>1967502.0</v>
      </c>
    </row>
    <row r="2081">
      <c r="A2081" s="1">
        <v>2080.0</v>
      </c>
      <c r="B2081" s="1" t="s">
        <v>1401</v>
      </c>
      <c r="C2081" s="1" t="s">
        <v>1389</v>
      </c>
      <c r="D2081" s="1">
        <v>2.0</v>
      </c>
      <c r="E2081" s="1" t="s">
        <v>7</v>
      </c>
      <c r="F2081" s="1">
        <v>735014.0</v>
      </c>
    </row>
    <row r="2082">
      <c r="A2082" s="1">
        <v>2081.0</v>
      </c>
      <c r="B2082" s="1" t="s">
        <v>912</v>
      </c>
      <c r="C2082" s="1" t="s">
        <v>1389</v>
      </c>
      <c r="D2082" s="1">
        <v>2.0</v>
      </c>
      <c r="E2082" s="1" t="s">
        <v>7</v>
      </c>
      <c r="F2082" s="1">
        <v>59018.0</v>
      </c>
    </row>
    <row r="2083">
      <c r="A2083" s="1">
        <v>2082.0</v>
      </c>
      <c r="B2083" s="1" t="s">
        <v>1027</v>
      </c>
      <c r="C2083" s="1" t="s">
        <v>1389</v>
      </c>
      <c r="D2083" s="1">
        <v>2.0</v>
      </c>
      <c r="E2083" s="1" t="s">
        <v>7</v>
      </c>
      <c r="F2083" s="1">
        <v>2336080.0</v>
      </c>
    </row>
    <row r="2084">
      <c r="A2084" s="1">
        <v>2083.0</v>
      </c>
      <c r="B2084" s="1" t="s">
        <v>1402</v>
      </c>
      <c r="C2084" s="1" t="s">
        <v>1389</v>
      </c>
      <c r="D2084" s="1">
        <v>2.0</v>
      </c>
      <c r="E2084" s="1" t="s">
        <v>7</v>
      </c>
      <c r="F2084" s="1">
        <v>1368953.0</v>
      </c>
    </row>
    <row r="2085">
      <c r="A2085" s="1">
        <v>2084.0</v>
      </c>
      <c r="B2085" s="1" t="s">
        <v>388</v>
      </c>
      <c r="C2085" s="1" t="s">
        <v>1389</v>
      </c>
      <c r="D2085" s="1">
        <v>2.0</v>
      </c>
      <c r="E2085" s="1" t="s">
        <v>7</v>
      </c>
      <c r="F2085" s="1">
        <v>973293.0</v>
      </c>
    </row>
    <row r="2086">
      <c r="A2086" s="1">
        <v>2085.0</v>
      </c>
      <c r="B2086" s="1" t="s">
        <v>47</v>
      </c>
      <c r="C2086" s="1" t="s">
        <v>1389</v>
      </c>
      <c r="D2086" s="1">
        <v>2.0</v>
      </c>
      <c r="E2086" s="1" t="s">
        <v>7</v>
      </c>
      <c r="F2086" s="1">
        <v>1163867.0</v>
      </c>
    </row>
    <row r="2087">
      <c r="A2087" s="1">
        <v>2086.0</v>
      </c>
      <c r="B2087" s="1" t="s">
        <v>1403</v>
      </c>
      <c r="C2087" s="1" t="s">
        <v>1389</v>
      </c>
      <c r="D2087" s="1">
        <v>2.0</v>
      </c>
      <c r="E2087" s="1" t="s">
        <v>7</v>
      </c>
      <c r="F2087" s="1">
        <v>541849.0</v>
      </c>
    </row>
    <row r="2088">
      <c r="A2088" s="1">
        <v>2087.0</v>
      </c>
      <c r="B2088" s="1" t="s">
        <v>81</v>
      </c>
      <c r="C2088" s="1" t="s">
        <v>1389</v>
      </c>
      <c r="D2088" s="1">
        <v>2.0</v>
      </c>
      <c r="E2088" s="1" t="s">
        <v>7</v>
      </c>
      <c r="F2088" s="1">
        <v>625837.0</v>
      </c>
    </row>
    <row r="2089">
      <c r="A2089" s="1">
        <v>2088.0</v>
      </c>
      <c r="B2089" s="1" t="s">
        <v>99</v>
      </c>
      <c r="C2089" s="1" t="s">
        <v>1389</v>
      </c>
      <c r="D2089" s="1">
        <v>2.0</v>
      </c>
      <c r="E2089" s="1" t="s">
        <v>7</v>
      </c>
      <c r="F2089" s="1">
        <v>1303425.0</v>
      </c>
    </row>
    <row r="2090">
      <c r="A2090" s="1">
        <v>2089.0</v>
      </c>
      <c r="B2090" s="1" t="s">
        <v>153</v>
      </c>
      <c r="C2090" s="1" t="s">
        <v>1389</v>
      </c>
      <c r="D2090" s="1">
        <v>2.0</v>
      </c>
      <c r="E2090" s="1" t="s">
        <v>7</v>
      </c>
      <c r="F2090" s="1">
        <v>890822.0</v>
      </c>
    </row>
    <row r="2091">
      <c r="A2091" s="1">
        <v>2090.0</v>
      </c>
      <c r="B2091" s="1" t="s">
        <v>1404</v>
      </c>
      <c r="C2091" s="1" t="s">
        <v>1389</v>
      </c>
      <c r="D2091" s="1">
        <v>2.0</v>
      </c>
      <c r="E2091" s="1" t="s">
        <v>7</v>
      </c>
      <c r="F2091" s="1">
        <v>733602.0</v>
      </c>
    </row>
    <row r="2092">
      <c r="A2092" s="1">
        <v>2091.0</v>
      </c>
      <c r="B2092" s="1" t="s">
        <v>1280</v>
      </c>
      <c r="C2092" s="1" t="s">
        <v>1389</v>
      </c>
      <c r="D2092" s="1">
        <v>2.0</v>
      </c>
      <c r="E2092" s="1" t="s">
        <v>7</v>
      </c>
      <c r="F2092" s="1">
        <v>1538205.0</v>
      </c>
    </row>
    <row r="2093">
      <c r="A2093" s="1">
        <v>2092.0</v>
      </c>
      <c r="B2093" s="1" t="s">
        <v>78</v>
      </c>
      <c r="C2093" s="1" t="s">
        <v>1389</v>
      </c>
      <c r="D2093" s="1">
        <v>2.0</v>
      </c>
      <c r="E2093" s="1" t="s">
        <v>7</v>
      </c>
      <c r="F2093" s="1">
        <v>549960.0</v>
      </c>
    </row>
    <row r="2094">
      <c r="A2094" s="1">
        <v>2093.0</v>
      </c>
      <c r="B2094" s="1" t="s">
        <v>1405</v>
      </c>
      <c r="C2094" s="1" t="s">
        <v>1389</v>
      </c>
      <c r="D2094" s="1">
        <v>2.0</v>
      </c>
      <c r="E2094" s="1" t="s">
        <v>7</v>
      </c>
      <c r="F2094" s="1">
        <v>512250.0</v>
      </c>
    </row>
    <row r="2095">
      <c r="A2095" s="1">
        <v>2094.0</v>
      </c>
      <c r="B2095" s="1" t="s">
        <v>1406</v>
      </c>
      <c r="C2095" s="1" t="s">
        <v>1389</v>
      </c>
      <c r="D2095" s="1">
        <v>2.0</v>
      </c>
      <c r="E2095" s="1" t="s">
        <v>7</v>
      </c>
      <c r="F2095" s="1">
        <v>207541.0</v>
      </c>
    </row>
    <row r="2096">
      <c r="A2096" s="1">
        <v>2095.0</v>
      </c>
      <c r="B2096" s="1" t="s">
        <v>146</v>
      </c>
      <c r="C2096" s="1" t="s">
        <v>1389</v>
      </c>
      <c r="D2096" s="1">
        <v>2.0</v>
      </c>
      <c r="E2096" s="1" t="s">
        <v>7</v>
      </c>
      <c r="F2096" s="1">
        <v>624665.0</v>
      </c>
    </row>
    <row r="2097">
      <c r="A2097" s="1">
        <v>2096.0</v>
      </c>
      <c r="B2097" s="1" t="s">
        <v>1407</v>
      </c>
      <c r="C2097" s="1" t="s">
        <v>1389</v>
      </c>
      <c r="D2097" s="1">
        <v>2.0</v>
      </c>
      <c r="E2097" s="1" t="s">
        <v>7</v>
      </c>
      <c r="F2097" s="1">
        <v>24410.0</v>
      </c>
    </row>
    <row r="2098">
      <c r="A2098" s="1">
        <v>2097.0</v>
      </c>
      <c r="B2098" s="1" t="s">
        <v>1408</v>
      </c>
      <c r="C2098" s="1" t="s">
        <v>1389</v>
      </c>
      <c r="D2098" s="1">
        <v>2.0</v>
      </c>
      <c r="E2098" s="1" t="s">
        <v>7</v>
      </c>
      <c r="F2098" s="1">
        <v>25.0</v>
      </c>
    </row>
    <row r="2099">
      <c r="A2099" s="1">
        <v>2098.0</v>
      </c>
      <c r="B2099" s="1" t="s">
        <v>557</v>
      </c>
      <c r="C2099" s="1" t="s">
        <v>1389</v>
      </c>
      <c r="D2099" s="1">
        <v>2.0</v>
      </c>
      <c r="E2099" s="1" t="s">
        <v>7</v>
      </c>
      <c r="F2099" s="1">
        <v>2250000.0</v>
      </c>
    </row>
    <row r="2100">
      <c r="A2100" s="1">
        <v>2099.0</v>
      </c>
      <c r="B2100" s="1" t="s">
        <v>1409</v>
      </c>
      <c r="C2100" s="1" t="s">
        <v>1389</v>
      </c>
      <c r="D2100" s="1">
        <v>2.0</v>
      </c>
      <c r="E2100" s="1" t="s">
        <v>7</v>
      </c>
      <c r="F2100" s="1">
        <v>974234.0</v>
      </c>
    </row>
    <row r="2101">
      <c r="A2101" s="1">
        <v>2100.0</v>
      </c>
      <c r="B2101" s="1" t="s">
        <v>1410</v>
      </c>
      <c r="C2101" s="1" t="s">
        <v>1389</v>
      </c>
      <c r="D2101" s="1">
        <v>2.0</v>
      </c>
      <c r="E2101" s="1" t="s">
        <v>7</v>
      </c>
      <c r="F2101" s="1">
        <v>954869.0</v>
      </c>
    </row>
    <row r="2102">
      <c r="A2102" s="1">
        <v>2101.0</v>
      </c>
      <c r="B2102" s="1" t="s">
        <v>603</v>
      </c>
      <c r="C2102" s="1" t="s">
        <v>1389</v>
      </c>
      <c r="D2102" s="1">
        <v>2.0</v>
      </c>
      <c r="E2102" s="1" t="s">
        <v>7</v>
      </c>
      <c r="F2102" s="1">
        <v>1621262.0</v>
      </c>
    </row>
    <row r="2103">
      <c r="A2103" s="1">
        <v>2102.0</v>
      </c>
      <c r="B2103" s="1" t="s">
        <v>1411</v>
      </c>
      <c r="C2103" s="1" t="s">
        <v>1389</v>
      </c>
      <c r="D2103" s="1">
        <v>2.0</v>
      </c>
      <c r="E2103" s="1" t="s">
        <v>7</v>
      </c>
      <c r="F2103" s="1">
        <v>938141.0</v>
      </c>
    </row>
    <row r="2104">
      <c r="A2104" s="1">
        <v>2103.0</v>
      </c>
      <c r="B2104" s="1" t="s">
        <v>946</v>
      </c>
      <c r="C2104" s="1" t="s">
        <v>1389</v>
      </c>
      <c r="D2104" s="1">
        <v>2.0</v>
      </c>
      <c r="E2104" s="1" t="s">
        <v>7</v>
      </c>
      <c r="F2104" s="1">
        <v>40610.0</v>
      </c>
    </row>
    <row r="2105">
      <c r="A2105" s="1">
        <v>2104.0</v>
      </c>
      <c r="B2105" s="1" t="s">
        <v>131</v>
      </c>
      <c r="C2105" s="1" t="s">
        <v>1389</v>
      </c>
      <c r="D2105" s="1">
        <v>2.0</v>
      </c>
      <c r="E2105" s="1" t="s">
        <v>7</v>
      </c>
      <c r="F2105" s="1">
        <v>40147.0</v>
      </c>
    </row>
    <row r="2106">
      <c r="A2106" s="1">
        <v>2105.0</v>
      </c>
      <c r="B2106" s="1" t="s">
        <v>640</v>
      </c>
      <c r="C2106" s="1" t="s">
        <v>1389</v>
      </c>
      <c r="D2106" s="1">
        <v>2.0</v>
      </c>
      <c r="E2106" s="1" t="s">
        <v>7</v>
      </c>
      <c r="F2106" s="1">
        <v>893330.0</v>
      </c>
    </row>
    <row r="2107">
      <c r="A2107" s="1">
        <v>2106.0</v>
      </c>
      <c r="B2107" s="1" t="s">
        <v>60</v>
      </c>
      <c r="C2107" s="1" t="s">
        <v>1389</v>
      </c>
      <c r="D2107" s="1">
        <v>2.0</v>
      </c>
      <c r="E2107" s="1" t="s">
        <v>7</v>
      </c>
      <c r="F2107" s="1">
        <v>1276978.0</v>
      </c>
    </row>
    <row r="2108">
      <c r="A2108" s="1">
        <v>2107.0</v>
      </c>
      <c r="B2108" s="1" t="s">
        <v>1033</v>
      </c>
      <c r="C2108" s="1" t="s">
        <v>1389</v>
      </c>
      <c r="D2108" s="1">
        <v>2.0</v>
      </c>
      <c r="E2108" s="1" t="s">
        <v>7</v>
      </c>
      <c r="F2108" s="1">
        <v>666571.0</v>
      </c>
    </row>
    <row r="2109">
      <c r="A2109" s="1">
        <v>2108.0</v>
      </c>
      <c r="B2109" s="1" t="s">
        <v>65</v>
      </c>
      <c r="C2109" s="1" t="s">
        <v>1389</v>
      </c>
      <c r="D2109" s="1">
        <v>2.0</v>
      </c>
      <c r="E2109" s="1" t="s">
        <v>7</v>
      </c>
      <c r="F2109" s="1">
        <v>609565.0</v>
      </c>
    </row>
    <row r="2110">
      <c r="A2110" s="1">
        <v>2109.0</v>
      </c>
      <c r="B2110" s="1" t="s">
        <v>1412</v>
      </c>
      <c r="C2110" s="1" t="s">
        <v>1389</v>
      </c>
      <c r="D2110" s="1">
        <v>2.0</v>
      </c>
      <c r="E2110" s="1" t="s">
        <v>7</v>
      </c>
      <c r="F2110" s="1">
        <v>109215.0</v>
      </c>
    </row>
    <row r="2111">
      <c r="A2111" s="1">
        <v>2110.0</v>
      </c>
      <c r="B2111" s="1" t="s">
        <v>1413</v>
      </c>
      <c r="C2111" s="1" t="s">
        <v>1389</v>
      </c>
      <c r="D2111" s="1">
        <v>2.0</v>
      </c>
      <c r="E2111" s="1" t="s">
        <v>7</v>
      </c>
      <c r="F2111" s="1">
        <v>1058039.0</v>
      </c>
    </row>
    <row r="2112">
      <c r="A2112" s="1">
        <v>2111.0</v>
      </c>
      <c r="B2112" s="1" t="s">
        <v>1275</v>
      </c>
      <c r="C2112" s="1" t="s">
        <v>1389</v>
      </c>
      <c r="D2112" s="1">
        <v>2.0</v>
      </c>
      <c r="E2112" s="1" t="s">
        <v>7</v>
      </c>
      <c r="F2112" s="1">
        <v>1147975.0</v>
      </c>
    </row>
    <row r="2113">
      <c r="A2113" s="1">
        <v>2112.0</v>
      </c>
      <c r="B2113" s="1" t="s">
        <v>229</v>
      </c>
      <c r="C2113" s="1" t="s">
        <v>1389</v>
      </c>
      <c r="D2113" s="1">
        <v>2.0</v>
      </c>
      <c r="E2113" s="1" t="s">
        <v>7</v>
      </c>
      <c r="F2113" s="1">
        <v>852482.0</v>
      </c>
    </row>
    <row r="2114">
      <c r="A2114" s="1">
        <v>2113.0</v>
      </c>
      <c r="B2114" s="1" t="s">
        <v>1414</v>
      </c>
      <c r="C2114" s="1" t="s">
        <v>1389</v>
      </c>
      <c r="D2114" s="1">
        <v>2.0</v>
      </c>
      <c r="E2114" s="1" t="s">
        <v>7</v>
      </c>
      <c r="F2114" s="1">
        <v>340078.0</v>
      </c>
    </row>
    <row r="2115">
      <c r="A2115" s="1">
        <v>2114.0</v>
      </c>
      <c r="B2115" s="1" t="s">
        <v>1415</v>
      </c>
      <c r="C2115" s="1" t="s">
        <v>1389</v>
      </c>
      <c r="D2115" s="1">
        <v>2.0</v>
      </c>
      <c r="E2115" s="1" t="s">
        <v>7</v>
      </c>
      <c r="F2115" s="1">
        <v>112931.0</v>
      </c>
    </row>
    <row r="2116">
      <c r="A2116" s="1">
        <v>2115.0</v>
      </c>
      <c r="B2116" s="1" t="s">
        <v>119</v>
      </c>
      <c r="C2116" s="1" t="s">
        <v>1389</v>
      </c>
      <c r="D2116" s="1">
        <v>2.0</v>
      </c>
      <c r="E2116" s="1" t="s">
        <v>7</v>
      </c>
      <c r="F2116" s="1">
        <v>1654767.0</v>
      </c>
    </row>
    <row r="2117">
      <c r="A2117" s="1">
        <v>2116.0</v>
      </c>
      <c r="B2117" s="1" t="s">
        <v>1416</v>
      </c>
      <c r="C2117" s="1" t="s">
        <v>1389</v>
      </c>
      <c r="D2117" s="1">
        <v>2.0</v>
      </c>
      <c r="E2117" s="1" t="s">
        <v>7</v>
      </c>
      <c r="F2117" s="1">
        <v>1532784.0</v>
      </c>
    </row>
    <row r="2118">
      <c r="A2118" s="1">
        <v>2117.0</v>
      </c>
      <c r="B2118" s="1" t="s">
        <v>1417</v>
      </c>
      <c r="C2118" s="1" t="s">
        <v>1389</v>
      </c>
      <c r="D2118" s="1">
        <v>2.0</v>
      </c>
      <c r="E2118" s="1" t="s">
        <v>7</v>
      </c>
      <c r="F2118" s="1">
        <v>620504.0</v>
      </c>
    </row>
    <row r="2119">
      <c r="A2119" s="1">
        <v>2118.0</v>
      </c>
      <c r="B2119" s="1" t="s">
        <v>1418</v>
      </c>
      <c r="C2119" s="1" t="s">
        <v>1389</v>
      </c>
      <c r="D2119" s="1">
        <v>2.0</v>
      </c>
      <c r="E2119" s="1" t="s">
        <v>7</v>
      </c>
      <c r="F2119" s="1">
        <v>1162739.0</v>
      </c>
    </row>
    <row r="2120">
      <c r="A2120" s="1">
        <v>2119.0</v>
      </c>
      <c r="B2120" s="1" t="s">
        <v>521</v>
      </c>
      <c r="C2120" s="1" t="s">
        <v>1389</v>
      </c>
      <c r="D2120" s="1">
        <v>2.0</v>
      </c>
      <c r="E2120" s="1" t="s">
        <v>7</v>
      </c>
      <c r="F2120" s="1">
        <v>1234705.0</v>
      </c>
    </row>
    <row r="2121">
      <c r="A2121" s="1">
        <v>2120.0</v>
      </c>
      <c r="B2121" s="1" t="s">
        <v>516</v>
      </c>
      <c r="C2121" s="1" t="s">
        <v>1389</v>
      </c>
      <c r="D2121" s="1">
        <v>2.0</v>
      </c>
      <c r="E2121" s="1" t="s">
        <v>7</v>
      </c>
      <c r="F2121" s="1">
        <v>507137.0</v>
      </c>
    </row>
    <row r="2122">
      <c r="A2122" s="1">
        <v>2121.0</v>
      </c>
      <c r="B2122" s="1" t="s">
        <v>90</v>
      </c>
      <c r="C2122" s="1" t="s">
        <v>1389</v>
      </c>
      <c r="D2122" s="1">
        <v>2.0</v>
      </c>
      <c r="E2122" s="1" t="s">
        <v>7</v>
      </c>
      <c r="F2122" s="1">
        <v>164574.0</v>
      </c>
    </row>
    <row r="2123">
      <c r="A2123" s="1">
        <v>2122.0</v>
      </c>
      <c r="B2123" s="1" t="s">
        <v>1419</v>
      </c>
      <c r="C2123" s="1" t="s">
        <v>1389</v>
      </c>
      <c r="D2123" s="1">
        <v>2.0</v>
      </c>
      <c r="E2123" s="1" t="s">
        <v>7</v>
      </c>
      <c r="F2123" s="1">
        <v>2647046.0</v>
      </c>
    </row>
    <row r="2124">
      <c r="A2124" s="1">
        <v>2123.0</v>
      </c>
      <c r="B2124" s="1" t="s">
        <v>581</v>
      </c>
      <c r="C2124" s="1" t="s">
        <v>1389</v>
      </c>
      <c r="D2124" s="1">
        <v>2.0</v>
      </c>
      <c r="E2124" s="1" t="s">
        <v>7</v>
      </c>
      <c r="F2124" s="1">
        <v>1044365.0</v>
      </c>
    </row>
    <row r="2125">
      <c r="A2125" s="1">
        <v>2124.0</v>
      </c>
      <c r="B2125" s="1" t="s">
        <v>1420</v>
      </c>
      <c r="C2125" s="1" t="s">
        <v>1389</v>
      </c>
      <c r="D2125" s="1">
        <v>2.0</v>
      </c>
      <c r="E2125" s="1" t="s">
        <v>7</v>
      </c>
      <c r="F2125" s="1">
        <v>40738.0</v>
      </c>
    </row>
    <row r="2126">
      <c r="A2126" s="1">
        <v>2125.0</v>
      </c>
      <c r="B2126" s="1" t="s">
        <v>1396</v>
      </c>
      <c r="C2126" s="1" t="s">
        <v>1389</v>
      </c>
      <c r="D2126" s="1">
        <v>2.0</v>
      </c>
      <c r="E2126" s="1" t="s">
        <v>7</v>
      </c>
      <c r="F2126" s="1">
        <v>56373.0</v>
      </c>
    </row>
    <row r="2127">
      <c r="A2127" s="1">
        <v>2126.0</v>
      </c>
      <c r="B2127" s="1" t="s">
        <v>794</v>
      </c>
      <c r="C2127" s="1" t="s">
        <v>1389</v>
      </c>
      <c r="D2127" s="1">
        <v>2.0</v>
      </c>
      <c r="E2127" s="1" t="s">
        <v>7</v>
      </c>
      <c r="F2127" s="1">
        <v>1279052.0</v>
      </c>
    </row>
    <row r="2128">
      <c r="A2128" s="1">
        <v>2127.0</v>
      </c>
      <c r="B2128" s="1" t="s">
        <v>20</v>
      </c>
      <c r="C2128" s="1" t="s">
        <v>1389</v>
      </c>
      <c r="D2128" s="1">
        <v>1.0</v>
      </c>
      <c r="E2128" s="1" t="s">
        <v>7</v>
      </c>
      <c r="F2128" s="1">
        <v>534000.0</v>
      </c>
    </row>
    <row r="2129">
      <c r="A2129" s="1">
        <v>2128.0</v>
      </c>
      <c r="B2129" s="1" t="s">
        <v>1421</v>
      </c>
      <c r="C2129" s="1" t="s">
        <v>1389</v>
      </c>
      <c r="D2129" s="1">
        <v>1.0</v>
      </c>
      <c r="E2129" s="1" t="s">
        <v>7</v>
      </c>
      <c r="F2129" s="1">
        <v>387.0</v>
      </c>
    </row>
    <row r="2130">
      <c r="A2130" s="1">
        <v>2129.0</v>
      </c>
      <c r="B2130" s="1" t="s">
        <v>1422</v>
      </c>
      <c r="C2130" s="1" t="s">
        <v>1389</v>
      </c>
      <c r="D2130" s="1">
        <v>1.0</v>
      </c>
      <c r="E2130" s="1" t="s">
        <v>7</v>
      </c>
      <c r="F2130" s="1">
        <v>82.0</v>
      </c>
    </row>
    <row r="2131">
      <c r="A2131" s="1">
        <v>2130.0</v>
      </c>
      <c r="B2131" s="1" t="s">
        <v>1423</v>
      </c>
      <c r="C2131" s="1" t="s">
        <v>1389</v>
      </c>
      <c r="D2131" s="1">
        <v>1.0</v>
      </c>
      <c r="E2131" s="1" t="s">
        <v>7</v>
      </c>
      <c r="F2131" s="1">
        <v>75366.0</v>
      </c>
    </row>
    <row r="2132">
      <c r="A2132" s="1">
        <v>2131.0</v>
      </c>
      <c r="B2132" s="1" t="s">
        <v>1424</v>
      </c>
      <c r="C2132" s="1" t="s">
        <v>1389</v>
      </c>
      <c r="D2132" s="1">
        <v>1.0</v>
      </c>
      <c r="E2132" s="1" t="s">
        <v>7</v>
      </c>
      <c r="F2132" s="1">
        <v>1753818.0</v>
      </c>
    </row>
    <row r="2133">
      <c r="A2133" s="1">
        <v>2132.0</v>
      </c>
      <c r="B2133" s="1" t="s">
        <v>1425</v>
      </c>
      <c r="C2133" s="1" t="s">
        <v>1389</v>
      </c>
      <c r="D2133" s="1">
        <v>1.0</v>
      </c>
      <c r="E2133" s="1" t="s">
        <v>7</v>
      </c>
      <c r="F2133" s="1">
        <v>1512273.0</v>
      </c>
    </row>
    <row r="2134">
      <c r="A2134" s="1">
        <v>2133.0</v>
      </c>
      <c r="B2134" s="1" t="s">
        <v>119</v>
      </c>
      <c r="C2134" s="1" t="s">
        <v>1389</v>
      </c>
      <c r="D2134" s="1">
        <v>1.0</v>
      </c>
      <c r="E2134" s="1" t="s">
        <v>7</v>
      </c>
      <c r="F2134" s="1">
        <v>2066758.0</v>
      </c>
    </row>
    <row r="2135">
      <c r="A2135" s="1">
        <v>2134.0</v>
      </c>
      <c r="B2135" s="1" t="s">
        <v>1426</v>
      </c>
      <c r="C2135" s="1" t="s">
        <v>1389</v>
      </c>
      <c r="D2135" s="1">
        <v>1.0</v>
      </c>
      <c r="E2135" s="1" t="s">
        <v>7</v>
      </c>
      <c r="F2135" s="1">
        <v>26.0</v>
      </c>
    </row>
    <row r="2136">
      <c r="A2136" s="1">
        <v>2135.0</v>
      </c>
      <c r="B2136" s="1" t="s">
        <v>1427</v>
      </c>
      <c r="C2136" s="1" t="s">
        <v>1389</v>
      </c>
      <c r="D2136" s="1">
        <v>1.0</v>
      </c>
      <c r="E2136" s="1" t="s">
        <v>7</v>
      </c>
      <c r="F2136" s="1">
        <v>182.0</v>
      </c>
    </row>
    <row r="2137">
      <c r="A2137" s="1">
        <v>2136.0</v>
      </c>
      <c r="B2137" s="1" t="s">
        <v>1428</v>
      </c>
      <c r="C2137" s="1" t="s">
        <v>1389</v>
      </c>
      <c r="D2137" s="1">
        <v>1.0</v>
      </c>
      <c r="E2137" s="1" t="s">
        <v>7</v>
      </c>
      <c r="F2137" s="1">
        <v>107488.0</v>
      </c>
    </row>
    <row r="2138">
      <c r="A2138" s="1">
        <v>2137.0</v>
      </c>
      <c r="B2138" s="1" t="s">
        <v>1429</v>
      </c>
      <c r="C2138" s="1" t="s">
        <v>1389</v>
      </c>
      <c r="D2138" s="1">
        <v>1.0</v>
      </c>
      <c r="E2138" s="1" t="s">
        <v>7</v>
      </c>
      <c r="F2138" s="1">
        <v>18000.0</v>
      </c>
    </row>
    <row r="2139">
      <c r="A2139" s="1">
        <v>2138.0</v>
      </c>
      <c r="B2139" s="1" t="s">
        <v>1430</v>
      </c>
      <c r="C2139" s="1" t="s">
        <v>1389</v>
      </c>
      <c r="D2139" s="1">
        <v>1.0</v>
      </c>
      <c r="E2139" s="1" t="s">
        <v>7</v>
      </c>
      <c r="F2139" s="1">
        <v>498719.0</v>
      </c>
    </row>
    <row r="2140">
      <c r="A2140" s="1">
        <v>2139.0</v>
      </c>
      <c r="B2140" s="1" t="s">
        <v>1431</v>
      </c>
      <c r="C2140" s="1" t="s">
        <v>1389</v>
      </c>
      <c r="D2140" s="1">
        <v>1.0</v>
      </c>
      <c r="E2140" s="1" t="s">
        <v>7</v>
      </c>
      <c r="F2140" s="1">
        <v>60.0</v>
      </c>
    </row>
    <row r="2141">
      <c r="A2141" s="1">
        <v>2140.0</v>
      </c>
      <c r="B2141" s="1" t="s">
        <v>1432</v>
      </c>
      <c r="C2141" s="1" t="s">
        <v>1389</v>
      </c>
      <c r="D2141" s="1">
        <v>1.0</v>
      </c>
      <c r="E2141" s="1" t="s">
        <v>7</v>
      </c>
      <c r="F2141" s="1">
        <v>2558957.0</v>
      </c>
    </row>
    <row r="2142">
      <c r="A2142" s="1">
        <v>2141.0</v>
      </c>
      <c r="B2142" s="1" t="s">
        <v>1433</v>
      </c>
      <c r="C2142" s="1" t="s">
        <v>1389</v>
      </c>
      <c r="D2142" s="1">
        <v>1.0</v>
      </c>
      <c r="E2142" s="1" t="s">
        <v>7</v>
      </c>
      <c r="F2142" s="1">
        <v>1359901.0</v>
      </c>
    </row>
    <row r="2143">
      <c r="A2143" s="1">
        <v>2142.0</v>
      </c>
      <c r="B2143" s="1" t="s">
        <v>1415</v>
      </c>
      <c r="C2143" s="1" t="s">
        <v>1389</v>
      </c>
      <c r="D2143" s="1">
        <v>1.0</v>
      </c>
      <c r="E2143" s="1" t="s">
        <v>7</v>
      </c>
      <c r="F2143" s="1">
        <v>26849.0</v>
      </c>
    </row>
    <row r="2144">
      <c r="A2144" s="1">
        <v>2143.0</v>
      </c>
      <c r="B2144" s="1" t="s">
        <v>333</v>
      </c>
      <c r="C2144" s="1" t="s">
        <v>1389</v>
      </c>
      <c r="D2144" s="1">
        <v>1.0</v>
      </c>
      <c r="E2144" s="1" t="s">
        <v>7</v>
      </c>
      <c r="F2144" s="1">
        <v>455844.0</v>
      </c>
    </row>
    <row r="2145">
      <c r="A2145" s="1">
        <v>2144.0</v>
      </c>
      <c r="B2145" s="1" t="s">
        <v>1434</v>
      </c>
      <c r="C2145" s="1" t="s">
        <v>1389</v>
      </c>
      <c r="D2145" s="1">
        <v>1.0</v>
      </c>
      <c r="E2145" s="1" t="s">
        <v>7</v>
      </c>
      <c r="F2145" s="1">
        <v>876076.0</v>
      </c>
    </row>
    <row r="2146">
      <c r="A2146" s="1">
        <v>2145.0</v>
      </c>
      <c r="B2146" s="1" t="s">
        <v>1435</v>
      </c>
      <c r="C2146" s="1" t="s">
        <v>1389</v>
      </c>
      <c r="D2146" s="1">
        <v>1.0</v>
      </c>
      <c r="E2146" s="1" t="s">
        <v>7</v>
      </c>
      <c r="F2146" s="1">
        <v>43256.0</v>
      </c>
    </row>
    <row r="2147">
      <c r="A2147" s="1">
        <v>2146.0</v>
      </c>
      <c r="B2147" s="1" t="s">
        <v>1436</v>
      </c>
      <c r="C2147" s="1" t="s">
        <v>1389</v>
      </c>
      <c r="D2147" s="1">
        <v>1.0</v>
      </c>
      <c r="E2147" s="1" t="s">
        <v>7</v>
      </c>
      <c r="F2147" s="1">
        <v>1969992.0</v>
      </c>
    </row>
    <row r="2148">
      <c r="A2148" s="1">
        <v>2147.0</v>
      </c>
      <c r="B2148" s="1" t="s">
        <v>1437</v>
      </c>
      <c r="C2148" s="1" t="s">
        <v>1389</v>
      </c>
      <c r="D2148" s="1">
        <v>1.0</v>
      </c>
      <c r="E2148" s="1" t="s">
        <v>7</v>
      </c>
      <c r="F2148" s="1">
        <v>755066.0</v>
      </c>
    </row>
    <row r="2149">
      <c r="A2149" s="1">
        <v>2148.0</v>
      </c>
      <c r="B2149" s="1" t="s">
        <v>192</v>
      </c>
      <c r="C2149" s="1" t="s">
        <v>1389</v>
      </c>
      <c r="D2149" s="1">
        <v>1.0</v>
      </c>
      <c r="E2149" s="1" t="s">
        <v>7</v>
      </c>
      <c r="F2149" s="1">
        <v>520000.0</v>
      </c>
    </row>
    <row r="2150">
      <c r="A2150" s="1">
        <v>2149.0</v>
      </c>
      <c r="B2150" s="5" t="s">
        <v>1438</v>
      </c>
      <c r="C2150" s="1" t="s">
        <v>1389</v>
      </c>
      <c r="D2150" s="1">
        <v>1.0</v>
      </c>
      <c r="E2150" s="1" t="s">
        <v>7</v>
      </c>
      <c r="F2150" s="1">
        <v>63.0</v>
      </c>
    </row>
    <row r="2151">
      <c r="A2151" s="1">
        <v>2150.0</v>
      </c>
      <c r="B2151" s="1" t="s">
        <v>1439</v>
      </c>
      <c r="C2151" s="1" t="s">
        <v>1389</v>
      </c>
      <c r="D2151" s="1">
        <v>1.0</v>
      </c>
      <c r="E2151" s="1" t="s">
        <v>7</v>
      </c>
      <c r="F2151" s="1">
        <v>855200.0</v>
      </c>
    </row>
    <row r="2152">
      <c r="A2152" s="1">
        <v>2151.0</v>
      </c>
      <c r="B2152" s="1" t="s">
        <v>44</v>
      </c>
      <c r="C2152" s="1" t="s">
        <v>1389</v>
      </c>
      <c r="D2152" s="1">
        <v>1.0</v>
      </c>
      <c r="E2152" s="1" t="s">
        <v>7</v>
      </c>
      <c r="F2152" s="1">
        <v>897431.0</v>
      </c>
    </row>
    <row r="2153">
      <c r="A2153" s="1">
        <v>2152.0</v>
      </c>
      <c r="B2153" s="1" t="s">
        <v>1440</v>
      </c>
      <c r="C2153" s="1" t="s">
        <v>1389</v>
      </c>
      <c r="D2153" s="1">
        <v>1.0</v>
      </c>
      <c r="E2153" s="1" t="s">
        <v>7</v>
      </c>
      <c r="F2153" s="1">
        <v>15475.0</v>
      </c>
    </row>
    <row r="2154">
      <c r="A2154" s="1">
        <v>2153.0</v>
      </c>
      <c r="B2154" s="1" t="s">
        <v>1441</v>
      </c>
      <c r="C2154" s="1" t="s">
        <v>1389</v>
      </c>
      <c r="D2154" s="1">
        <v>1.0</v>
      </c>
      <c r="E2154" s="1" t="s">
        <v>7</v>
      </c>
      <c r="F2154" s="1">
        <v>209648.0</v>
      </c>
    </row>
    <row r="2155">
      <c r="A2155" s="1">
        <v>2154.0</v>
      </c>
      <c r="B2155" s="1" t="s">
        <v>1442</v>
      </c>
      <c r="C2155" s="1" t="s">
        <v>1389</v>
      </c>
      <c r="D2155" s="1">
        <v>1.0</v>
      </c>
      <c r="E2155" s="1" t="s">
        <v>7</v>
      </c>
      <c r="F2155" s="1">
        <v>1952023.0</v>
      </c>
    </row>
    <row r="2156">
      <c r="A2156" s="1">
        <v>2155.0</v>
      </c>
      <c r="B2156" s="1" t="s">
        <v>9</v>
      </c>
      <c r="C2156" s="1" t="s">
        <v>1389</v>
      </c>
      <c r="D2156" s="1">
        <v>21.0</v>
      </c>
      <c r="E2156" s="1" t="s">
        <v>614</v>
      </c>
      <c r="F2156" s="1">
        <v>439213.0</v>
      </c>
    </row>
    <row r="2157">
      <c r="A2157" s="1">
        <v>2156.0</v>
      </c>
      <c r="B2157" s="1" t="s">
        <v>577</v>
      </c>
      <c r="C2157" s="1" t="s">
        <v>1389</v>
      </c>
      <c r="D2157" s="1">
        <v>16.0</v>
      </c>
      <c r="E2157" s="1" t="s">
        <v>614</v>
      </c>
      <c r="F2157" s="1">
        <v>522539.0</v>
      </c>
    </row>
    <row r="2158">
      <c r="A2158" s="1">
        <v>2157.0</v>
      </c>
      <c r="B2158" s="1" t="s">
        <v>11</v>
      </c>
      <c r="C2158" s="1" t="s">
        <v>1389</v>
      </c>
      <c r="D2158" s="1">
        <v>11.0</v>
      </c>
      <c r="E2158" s="1" t="s">
        <v>614</v>
      </c>
      <c r="F2158" s="1">
        <v>683642.0</v>
      </c>
    </row>
    <row r="2159">
      <c r="A2159" s="1">
        <v>2158.0</v>
      </c>
      <c r="B2159" s="1" t="s">
        <v>615</v>
      </c>
      <c r="C2159" s="1" t="s">
        <v>1389</v>
      </c>
      <c r="D2159" s="1">
        <v>6.0</v>
      </c>
      <c r="E2159" s="1" t="s">
        <v>614</v>
      </c>
      <c r="F2159" s="1">
        <v>1013717.0</v>
      </c>
    </row>
    <row r="2160">
      <c r="A2160" s="1">
        <v>2159.0</v>
      </c>
      <c r="B2160" s="1" t="s">
        <v>12</v>
      </c>
      <c r="C2160" s="1" t="s">
        <v>1389</v>
      </c>
      <c r="D2160" s="1">
        <v>6.0</v>
      </c>
      <c r="E2160" s="1" t="s">
        <v>614</v>
      </c>
      <c r="F2160" s="1">
        <v>446476.0</v>
      </c>
    </row>
    <row r="2161">
      <c r="A2161" s="1">
        <v>2160.0</v>
      </c>
      <c r="B2161" s="1" t="s">
        <v>611</v>
      </c>
      <c r="C2161" s="1" t="s">
        <v>1389</v>
      </c>
      <c r="D2161" s="1">
        <v>6.0</v>
      </c>
      <c r="E2161" s="1" t="s">
        <v>614</v>
      </c>
      <c r="F2161" s="1">
        <v>672465.0</v>
      </c>
    </row>
    <row r="2162">
      <c r="A2162" s="1">
        <v>2161.0</v>
      </c>
      <c r="B2162" s="1" t="s">
        <v>405</v>
      </c>
      <c r="C2162" s="1" t="s">
        <v>1389</v>
      </c>
      <c r="D2162" s="1">
        <v>5.0</v>
      </c>
      <c r="E2162" s="1" t="s">
        <v>614</v>
      </c>
      <c r="F2162" s="1">
        <v>624033.0</v>
      </c>
    </row>
    <row r="2163">
      <c r="A2163" s="1">
        <v>2162.0</v>
      </c>
      <c r="B2163" s="1" t="s">
        <v>16</v>
      </c>
      <c r="C2163" s="1" t="s">
        <v>1389</v>
      </c>
      <c r="D2163" s="1">
        <v>5.0</v>
      </c>
      <c r="E2163" s="1" t="s">
        <v>614</v>
      </c>
      <c r="F2163" s="1">
        <v>511122.0</v>
      </c>
    </row>
    <row r="2164">
      <c r="A2164" s="1">
        <v>2163.0</v>
      </c>
      <c r="B2164" s="1" t="s">
        <v>131</v>
      </c>
      <c r="C2164" s="1" t="s">
        <v>1389</v>
      </c>
      <c r="D2164" s="1">
        <v>4.0</v>
      </c>
      <c r="E2164" s="1" t="s">
        <v>614</v>
      </c>
      <c r="F2164" s="1">
        <v>800848.0</v>
      </c>
    </row>
    <row r="2165">
      <c r="A2165" s="1">
        <v>2164.0</v>
      </c>
      <c r="B2165" s="1" t="s">
        <v>54</v>
      </c>
      <c r="C2165" s="1" t="s">
        <v>1389</v>
      </c>
      <c r="D2165" s="1">
        <v>4.0</v>
      </c>
      <c r="E2165" s="1" t="s">
        <v>614</v>
      </c>
      <c r="F2165" s="1">
        <v>476563.0</v>
      </c>
    </row>
    <row r="2166">
      <c r="A2166" s="1">
        <v>2165.0</v>
      </c>
      <c r="B2166" s="1" t="s">
        <v>1443</v>
      </c>
      <c r="C2166" s="1" t="s">
        <v>1389</v>
      </c>
      <c r="D2166" s="1">
        <v>3.0</v>
      </c>
      <c r="E2166" s="1" t="s">
        <v>614</v>
      </c>
      <c r="F2166" s="1">
        <v>46933.0</v>
      </c>
    </row>
    <row r="2167">
      <c r="A2167" s="1">
        <v>2166.0</v>
      </c>
      <c r="B2167" s="1" t="s">
        <v>27</v>
      </c>
      <c r="C2167" s="1" t="s">
        <v>1389</v>
      </c>
      <c r="D2167" s="1">
        <v>3.0</v>
      </c>
      <c r="E2167" s="1" t="s">
        <v>614</v>
      </c>
      <c r="F2167" s="1">
        <v>471463.0</v>
      </c>
    </row>
    <row r="2168">
      <c r="A2168" s="1">
        <v>2167.0</v>
      </c>
      <c r="B2168" s="1" t="s">
        <v>629</v>
      </c>
      <c r="C2168" s="1" t="s">
        <v>1389</v>
      </c>
      <c r="D2168" s="1">
        <v>3.0</v>
      </c>
      <c r="E2168" s="1" t="s">
        <v>614</v>
      </c>
      <c r="F2168" s="1">
        <v>145.0</v>
      </c>
    </row>
    <row r="2169">
      <c r="A2169" s="1">
        <v>2168.0</v>
      </c>
      <c r="B2169" s="1" t="s">
        <v>1081</v>
      </c>
      <c r="C2169" s="1" t="s">
        <v>1389</v>
      </c>
      <c r="D2169" s="1">
        <v>3.0</v>
      </c>
      <c r="E2169" s="1" t="s">
        <v>614</v>
      </c>
      <c r="F2169" s="1">
        <v>490577.0</v>
      </c>
    </row>
    <row r="2170">
      <c r="A2170" s="1">
        <v>2169.0</v>
      </c>
      <c r="B2170" s="1" t="s">
        <v>14</v>
      </c>
      <c r="C2170" s="1" t="s">
        <v>1389</v>
      </c>
      <c r="D2170" s="1">
        <v>3.0</v>
      </c>
      <c r="E2170" s="1" t="s">
        <v>614</v>
      </c>
      <c r="F2170" s="1">
        <v>1289572.0</v>
      </c>
    </row>
    <row r="2171">
      <c r="A2171" s="1">
        <v>2170.0</v>
      </c>
      <c r="B2171" s="1" t="s">
        <v>618</v>
      </c>
      <c r="C2171" s="1" t="s">
        <v>1389</v>
      </c>
      <c r="D2171" s="1">
        <v>3.0</v>
      </c>
      <c r="E2171" s="1" t="s">
        <v>614</v>
      </c>
      <c r="F2171" s="1">
        <v>788964.0</v>
      </c>
    </row>
    <row r="2172">
      <c r="A2172" s="1">
        <v>2171.0</v>
      </c>
      <c r="B2172" s="1" t="s">
        <v>632</v>
      </c>
      <c r="C2172" s="1" t="s">
        <v>1389</v>
      </c>
      <c r="D2172" s="1">
        <v>3.0</v>
      </c>
      <c r="E2172" s="1" t="s">
        <v>614</v>
      </c>
      <c r="F2172" s="1">
        <v>656134.0</v>
      </c>
    </row>
    <row r="2173">
      <c r="A2173" s="1">
        <v>2172.0</v>
      </c>
      <c r="B2173" s="1" t="s">
        <v>701</v>
      </c>
      <c r="C2173" s="1" t="s">
        <v>1389</v>
      </c>
      <c r="D2173" s="1">
        <v>2.0</v>
      </c>
      <c r="E2173" s="1" t="s">
        <v>614</v>
      </c>
      <c r="F2173" s="1">
        <v>1556162.0</v>
      </c>
    </row>
    <row r="2174">
      <c r="A2174" s="1">
        <v>2173.0</v>
      </c>
      <c r="B2174" s="1" t="s">
        <v>638</v>
      </c>
      <c r="C2174" s="1" t="s">
        <v>1389</v>
      </c>
      <c r="D2174" s="1">
        <v>2.0</v>
      </c>
      <c r="E2174" s="1" t="s">
        <v>614</v>
      </c>
      <c r="F2174" s="1">
        <v>1328444.0</v>
      </c>
    </row>
    <row r="2175">
      <c r="A2175" s="1">
        <v>2174.0</v>
      </c>
      <c r="B2175" s="1" t="s">
        <v>1444</v>
      </c>
      <c r="C2175" s="1" t="s">
        <v>1389</v>
      </c>
      <c r="D2175" s="1">
        <v>2.0</v>
      </c>
      <c r="E2175" s="1" t="s">
        <v>614</v>
      </c>
      <c r="F2175" s="1">
        <v>1277470.0</v>
      </c>
    </row>
    <row r="2176">
      <c r="A2176" s="1">
        <v>2175.0</v>
      </c>
      <c r="B2176" s="1" t="s">
        <v>1445</v>
      </c>
      <c r="C2176" s="1" t="s">
        <v>1389</v>
      </c>
      <c r="D2176" s="1">
        <v>2.0</v>
      </c>
      <c r="E2176" s="1" t="s">
        <v>614</v>
      </c>
      <c r="F2176" s="1">
        <v>510826.0</v>
      </c>
    </row>
    <row r="2177">
      <c r="A2177" s="1">
        <v>2176.0</v>
      </c>
      <c r="B2177" s="1" t="s">
        <v>902</v>
      </c>
      <c r="C2177" s="1" t="s">
        <v>1389</v>
      </c>
      <c r="D2177" s="1">
        <v>2.0</v>
      </c>
      <c r="E2177" s="1" t="s">
        <v>614</v>
      </c>
      <c r="F2177" s="1">
        <v>77025.0</v>
      </c>
    </row>
    <row r="2178">
      <c r="A2178" s="1">
        <v>2177.0</v>
      </c>
      <c r="B2178" s="1" t="s">
        <v>8</v>
      </c>
      <c r="C2178" s="1" t="s">
        <v>1389</v>
      </c>
      <c r="D2178" s="1">
        <v>2.0</v>
      </c>
      <c r="E2178" s="1" t="s">
        <v>614</v>
      </c>
      <c r="F2178" s="1">
        <v>589439.0</v>
      </c>
    </row>
    <row r="2179">
      <c r="A2179" s="1">
        <v>2178.0</v>
      </c>
      <c r="B2179" s="1" t="s">
        <v>636</v>
      </c>
      <c r="C2179" s="1" t="s">
        <v>1389</v>
      </c>
      <c r="D2179" s="1">
        <v>2.0</v>
      </c>
      <c r="E2179" s="1" t="s">
        <v>614</v>
      </c>
      <c r="F2179" s="1">
        <v>2002418.0</v>
      </c>
    </row>
    <row r="2180">
      <c r="A2180" s="1">
        <v>2179.0</v>
      </c>
      <c r="B2180" s="1" t="s">
        <v>1446</v>
      </c>
      <c r="C2180" s="1" t="s">
        <v>1389</v>
      </c>
      <c r="D2180" s="1">
        <v>2.0</v>
      </c>
      <c r="E2180" s="1" t="s">
        <v>614</v>
      </c>
      <c r="F2180" s="1">
        <v>477369.0</v>
      </c>
    </row>
    <row r="2181">
      <c r="A2181" s="1">
        <v>2180.0</v>
      </c>
      <c r="B2181" s="1" t="s">
        <v>624</v>
      </c>
      <c r="C2181" s="1" t="s">
        <v>1389</v>
      </c>
      <c r="D2181" s="1">
        <v>2.0</v>
      </c>
      <c r="E2181" s="1" t="s">
        <v>614</v>
      </c>
      <c r="F2181" s="1">
        <v>1572029.0</v>
      </c>
    </row>
    <row r="2182">
      <c r="A2182" s="1">
        <v>2181.0</v>
      </c>
      <c r="B2182" s="1" t="s">
        <v>1447</v>
      </c>
      <c r="C2182" s="1" t="s">
        <v>1389</v>
      </c>
      <c r="D2182" s="1">
        <v>2.0</v>
      </c>
      <c r="E2182" s="1" t="s">
        <v>614</v>
      </c>
      <c r="F2182" s="1">
        <v>685014.0</v>
      </c>
    </row>
    <row r="2183">
      <c r="A2183" s="1">
        <v>2182.0</v>
      </c>
      <c r="B2183" s="1" t="s">
        <v>641</v>
      </c>
      <c r="C2183" s="1" t="s">
        <v>1389</v>
      </c>
      <c r="D2183" s="1">
        <v>2.0</v>
      </c>
      <c r="E2183" s="1" t="s">
        <v>614</v>
      </c>
      <c r="F2183" s="1">
        <v>3556740.0</v>
      </c>
    </row>
    <row r="2184">
      <c r="A2184" s="1">
        <v>2183.0</v>
      </c>
      <c r="B2184" s="1" t="s">
        <v>612</v>
      </c>
      <c r="C2184" s="1" t="s">
        <v>1389</v>
      </c>
      <c r="D2184" s="1">
        <v>2.0</v>
      </c>
      <c r="E2184" s="1" t="s">
        <v>614</v>
      </c>
      <c r="F2184" s="1">
        <v>438469.0</v>
      </c>
    </row>
    <row r="2185">
      <c r="A2185" s="1">
        <v>2184.0</v>
      </c>
      <c r="B2185" s="1" t="s">
        <v>1448</v>
      </c>
      <c r="C2185" s="1" t="s">
        <v>1389</v>
      </c>
      <c r="D2185" s="1">
        <v>2.0</v>
      </c>
      <c r="E2185" s="1" t="s">
        <v>614</v>
      </c>
      <c r="F2185" s="1">
        <v>1682089.0</v>
      </c>
    </row>
    <row r="2186">
      <c r="A2186" s="1">
        <v>2185.0</v>
      </c>
      <c r="B2186" s="1" t="s">
        <v>311</v>
      </c>
      <c r="C2186" s="1" t="s">
        <v>1389</v>
      </c>
      <c r="D2186" s="1">
        <v>2.0</v>
      </c>
      <c r="E2186" s="1" t="s">
        <v>614</v>
      </c>
      <c r="F2186" s="1">
        <v>996481.0</v>
      </c>
    </row>
    <row r="2187">
      <c r="A2187" s="1">
        <v>2186.0</v>
      </c>
      <c r="B2187" s="1" t="s">
        <v>1449</v>
      </c>
      <c r="C2187" s="1" t="s">
        <v>1389</v>
      </c>
      <c r="D2187" s="1">
        <v>2.0</v>
      </c>
      <c r="E2187" s="1" t="s">
        <v>614</v>
      </c>
      <c r="F2187" s="1">
        <v>873885.0</v>
      </c>
    </row>
    <row r="2188">
      <c r="A2188" s="1">
        <v>2187.0</v>
      </c>
      <c r="B2188" s="1" t="s">
        <v>902</v>
      </c>
      <c r="C2188" s="1" t="s">
        <v>1389</v>
      </c>
      <c r="D2188" s="1">
        <v>2.0</v>
      </c>
      <c r="E2188" s="1" t="s">
        <v>614</v>
      </c>
      <c r="F2188" s="1">
        <v>1499338.0</v>
      </c>
    </row>
    <row r="2189">
      <c r="A2189" s="1">
        <v>2188.0</v>
      </c>
      <c r="B2189" s="1" t="s">
        <v>1450</v>
      </c>
      <c r="C2189" s="1" t="s">
        <v>1389</v>
      </c>
      <c r="D2189" s="1">
        <v>2.0</v>
      </c>
      <c r="E2189" s="1" t="s">
        <v>614</v>
      </c>
      <c r="F2189" s="1">
        <v>480814.0</v>
      </c>
    </row>
    <row r="2190">
      <c r="A2190" s="1">
        <v>2189.0</v>
      </c>
      <c r="B2190" s="1" t="s">
        <v>619</v>
      </c>
      <c r="C2190" s="1" t="s">
        <v>1389</v>
      </c>
      <c r="D2190" s="1">
        <v>2.0</v>
      </c>
      <c r="E2190" s="1" t="s">
        <v>614</v>
      </c>
      <c r="F2190" s="1">
        <v>73384.0</v>
      </c>
    </row>
    <row r="2191">
      <c r="A2191" s="1">
        <v>2190.0</v>
      </c>
      <c r="B2191" s="1" t="s">
        <v>1451</v>
      </c>
      <c r="C2191" s="1" t="s">
        <v>1389</v>
      </c>
      <c r="D2191" s="1">
        <v>1.0</v>
      </c>
      <c r="E2191" s="1" t="s">
        <v>614</v>
      </c>
      <c r="F2191" s="1">
        <v>309497.0</v>
      </c>
    </row>
    <row r="2192">
      <c r="A2192" s="1">
        <v>2191.0</v>
      </c>
      <c r="B2192" s="1" t="s">
        <v>1049</v>
      </c>
      <c r="C2192" s="1" t="s">
        <v>1389</v>
      </c>
      <c r="D2192" s="1">
        <v>1.0</v>
      </c>
      <c r="E2192" s="1" t="s">
        <v>614</v>
      </c>
      <c r="F2192" s="1">
        <v>828729.0</v>
      </c>
    </row>
    <row r="2193">
      <c r="A2193" s="1">
        <v>2192.0</v>
      </c>
      <c r="B2193" s="1" t="s">
        <v>1452</v>
      </c>
      <c r="C2193" s="1" t="s">
        <v>1389</v>
      </c>
      <c r="D2193" s="1">
        <v>1.0</v>
      </c>
      <c r="E2193" s="1" t="s">
        <v>614</v>
      </c>
      <c r="F2193" s="1">
        <v>14180.0</v>
      </c>
    </row>
    <row r="2194">
      <c r="A2194" s="1">
        <v>2193.0</v>
      </c>
      <c r="B2194" s="1" t="s">
        <v>1453</v>
      </c>
      <c r="C2194" s="1" t="s">
        <v>1389</v>
      </c>
      <c r="D2194" s="1">
        <v>1.0</v>
      </c>
      <c r="E2194" s="1" t="s">
        <v>614</v>
      </c>
      <c r="F2194" s="1">
        <v>19348.0</v>
      </c>
    </row>
    <row r="2195">
      <c r="A2195" s="1">
        <v>2194.0</v>
      </c>
      <c r="B2195" s="1" t="s">
        <v>1454</v>
      </c>
      <c r="C2195" s="1" t="s">
        <v>1389</v>
      </c>
      <c r="D2195" s="1">
        <v>1.0</v>
      </c>
      <c r="E2195" s="1" t="s">
        <v>614</v>
      </c>
      <c r="F2195" s="1">
        <v>382787.0</v>
      </c>
    </row>
    <row r="2196">
      <c r="A2196" s="1">
        <v>2195.0</v>
      </c>
      <c r="B2196" s="1" t="s">
        <v>1455</v>
      </c>
      <c r="C2196" s="1" t="s">
        <v>1389</v>
      </c>
      <c r="D2196" s="1">
        <v>1.0</v>
      </c>
      <c r="E2196" s="1" t="s">
        <v>614</v>
      </c>
      <c r="F2196" s="1">
        <v>1998913.0</v>
      </c>
    </row>
    <row r="2197">
      <c r="A2197" s="1">
        <v>2196.0</v>
      </c>
      <c r="B2197" s="1" t="s">
        <v>1456</v>
      </c>
      <c r="C2197" s="1" t="s">
        <v>1389</v>
      </c>
      <c r="D2197" s="1">
        <v>1.0</v>
      </c>
      <c r="E2197" s="1" t="s">
        <v>614</v>
      </c>
      <c r="F2197" s="1">
        <v>160000.0</v>
      </c>
    </row>
    <row r="2198">
      <c r="A2198" s="1">
        <v>2197.0</v>
      </c>
      <c r="B2198" s="1" t="s">
        <v>1457</v>
      </c>
      <c r="C2198" s="1" t="s">
        <v>1389</v>
      </c>
      <c r="D2198" s="1">
        <v>1.0</v>
      </c>
      <c r="E2198" s="1" t="s">
        <v>614</v>
      </c>
      <c r="F2198" s="1">
        <v>1003672.0</v>
      </c>
    </row>
    <row r="2199">
      <c r="A2199" s="1">
        <v>2198.0</v>
      </c>
      <c r="B2199" s="1" t="s">
        <v>1458</v>
      </c>
      <c r="C2199" s="1" t="s">
        <v>1389</v>
      </c>
      <c r="D2199" s="1">
        <v>1.0</v>
      </c>
      <c r="E2199" s="1" t="s">
        <v>614</v>
      </c>
      <c r="F2199" s="1">
        <v>28137.0</v>
      </c>
    </row>
    <row r="2200">
      <c r="A2200" s="1">
        <v>2199.0</v>
      </c>
      <c r="B2200" s="1" t="s">
        <v>1459</v>
      </c>
      <c r="C2200" s="1" t="s">
        <v>1389</v>
      </c>
      <c r="D2200" s="1">
        <v>1.0</v>
      </c>
      <c r="E2200" s="1" t="s">
        <v>614</v>
      </c>
      <c r="F2200" s="1">
        <v>118237.0</v>
      </c>
    </row>
    <row r="2201">
      <c r="A2201" s="1">
        <v>2200.0</v>
      </c>
      <c r="B2201" s="1" t="s">
        <v>1460</v>
      </c>
      <c r="C2201" s="1" t="s">
        <v>1389</v>
      </c>
      <c r="D2201" s="1">
        <v>1.0</v>
      </c>
      <c r="E2201" s="1" t="s">
        <v>614</v>
      </c>
      <c r="F2201" s="1">
        <v>92.0</v>
      </c>
    </row>
    <row r="2202">
      <c r="A2202" s="1">
        <v>2201.0</v>
      </c>
      <c r="B2202" s="1" t="s">
        <v>590</v>
      </c>
      <c r="C2202" s="1" t="s">
        <v>1389</v>
      </c>
      <c r="D2202" s="1">
        <v>1.0</v>
      </c>
      <c r="E2202" s="1" t="s">
        <v>614</v>
      </c>
      <c r="F2202" s="1">
        <v>2175981.0</v>
      </c>
    </row>
    <row r="2203">
      <c r="A2203" s="1">
        <v>2202.0</v>
      </c>
      <c r="B2203" s="1" t="s">
        <v>1461</v>
      </c>
      <c r="C2203" s="1" t="s">
        <v>1389</v>
      </c>
      <c r="D2203" s="1">
        <v>1.0</v>
      </c>
      <c r="E2203" s="1" t="s">
        <v>614</v>
      </c>
      <c r="F2203" s="1">
        <v>100733.0</v>
      </c>
    </row>
    <row r="2204">
      <c r="A2204" s="1">
        <v>2203.0</v>
      </c>
      <c r="B2204" s="1" t="s">
        <v>69</v>
      </c>
      <c r="C2204" s="1" t="s">
        <v>1389</v>
      </c>
      <c r="D2204" s="1">
        <v>1.0</v>
      </c>
      <c r="E2204" s="1" t="s">
        <v>614</v>
      </c>
      <c r="F2204" s="1">
        <v>1650000.0</v>
      </c>
    </row>
    <row r="2205">
      <c r="A2205" s="1">
        <v>2204.0</v>
      </c>
      <c r="B2205" s="1" t="s">
        <v>1462</v>
      </c>
      <c r="C2205" s="1" t="s">
        <v>1389</v>
      </c>
      <c r="D2205" s="1">
        <v>1.0</v>
      </c>
      <c r="E2205" s="1" t="s">
        <v>614</v>
      </c>
      <c r="F2205" s="1">
        <v>132868.0</v>
      </c>
    </row>
    <row r="2206">
      <c r="A2206" s="1">
        <v>2205.0</v>
      </c>
      <c r="B2206" s="1" t="s">
        <v>1463</v>
      </c>
      <c r="C2206" s="1" t="s">
        <v>1389</v>
      </c>
      <c r="D2206" s="1">
        <v>1.0</v>
      </c>
      <c r="E2206" s="1" t="s">
        <v>614</v>
      </c>
      <c r="F2206" s="1">
        <v>45024.0</v>
      </c>
    </row>
    <row r="2207">
      <c r="A2207" s="1">
        <v>2206.0</v>
      </c>
      <c r="B2207" s="1" t="s">
        <v>1464</v>
      </c>
      <c r="C2207" s="1" t="s">
        <v>1389</v>
      </c>
      <c r="D2207" s="1">
        <v>1.0</v>
      </c>
      <c r="E2207" s="1" t="s">
        <v>614</v>
      </c>
      <c r="F2207" s="1">
        <v>343962.0</v>
      </c>
    </row>
    <row r="2208">
      <c r="A2208" s="1">
        <v>2207.0</v>
      </c>
      <c r="B2208" s="1" t="s">
        <v>1465</v>
      </c>
      <c r="C2208" s="1" t="s">
        <v>1389</v>
      </c>
      <c r="D2208" s="1">
        <v>1.0</v>
      </c>
      <c r="E2208" s="1" t="s">
        <v>614</v>
      </c>
      <c r="F2208" s="1">
        <v>25.0</v>
      </c>
    </row>
    <row r="2209">
      <c r="A2209" s="1">
        <v>2208.0</v>
      </c>
      <c r="B2209" s="1" t="s">
        <v>1466</v>
      </c>
      <c r="C2209" s="1" t="s">
        <v>1389</v>
      </c>
      <c r="D2209" s="1">
        <v>1.0</v>
      </c>
      <c r="E2209" s="1" t="s">
        <v>614</v>
      </c>
      <c r="F2209" s="1">
        <v>395258.0</v>
      </c>
    </row>
    <row r="2210">
      <c r="A2210" s="1">
        <v>2209.0</v>
      </c>
      <c r="B2210" s="1" t="s">
        <v>1022</v>
      </c>
      <c r="C2210" s="1" t="s">
        <v>1389</v>
      </c>
      <c r="D2210" s="1">
        <v>1.0</v>
      </c>
      <c r="E2210" s="1" t="s">
        <v>614</v>
      </c>
      <c r="F2210" s="1">
        <v>9.0</v>
      </c>
    </row>
    <row r="2211">
      <c r="A2211" s="1">
        <v>2210.0</v>
      </c>
      <c r="B2211" s="1" t="s">
        <v>1467</v>
      </c>
      <c r="C2211" s="1" t="s">
        <v>1389</v>
      </c>
      <c r="D2211" s="1">
        <v>1.0</v>
      </c>
      <c r="E2211" s="1" t="s">
        <v>614</v>
      </c>
      <c r="F2211" s="1">
        <v>410185.0</v>
      </c>
    </row>
    <row r="2212">
      <c r="A2212" s="1">
        <v>2211.0</v>
      </c>
      <c r="B2212" s="1" t="s">
        <v>1468</v>
      </c>
      <c r="C2212" s="1" t="s">
        <v>1389</v>
      </c>
      <c r="D2212" s="1">
        <v>1.0</v>
      </c>
      <c r="E2212" s="1" t="s">
        <v>614</v>
      </c>
      <c r="F2212" s="1">
        <v>26070.0</v>
      </c>
    </row>
    <row r="2213">
      <c r="A2213" s="1">
        <v>2212.0</v>
      </c>
      <c r="B2213" s="1" t="s">
        <v>1112</v>
      </c>
      <c r="C2213" s="1" t="s">
        <v>1389</v>
      </c>
      <c r="D2213" s="1">
        <v>1.0</v>
      </c>
      <c r="E2213" s="1" t="s">
        <v>614</v>
      </c>
      <c r="F2213" s="1">
        <v>827360.0</v>
      </c>
    </row>
    <row r="2214">
      <c r="A2214" s="1">
        <v>2213.0</v>
      </c>
      <c r="B2214" s="1" t="s">
        <v>1469</v>
      </c>
      <c r="C2214" s="1" t="s">
        <v>1389</v>
      </c>
      <c r="D2214" s="1">
        <v>1.0</v>
      </c>
      <c r="E2214" s="1" t="s">
        <v>614</v>
      </c>
      <c r="F2214" s="1">
        <v>2816193.0</v>
      </c>
    </row>
    <row r="2215">
      <c r="A2215" s="1">
        <v>2214.0</v>
      </c>
      <c r="B2215" s="1" t="s">
        <v>1470</v>
      </c>
      <c r="C2215" s="1" t="s">
        <v>1389</v>
      </c>
      <c r="D2215" s="1">
        <v>1.0</v>
      </c>
      <c r="E2215" s="1" t="s">
        <v>614</v>
      </c>
      <c r="F2215" s="1">
        <v>57702.0</v>
      </c>
    </row>
    <row r="2216">
      <c r="A2216" s="1">
        <v>2215.0</v>
      </c>
      <c r="C2216" s="1" t="s">
        <v>1389</v>
      </c>
      <c r="D2216" s="1">
        <v>1.0</v>
      </c>
      <c r="E2216" s="1" t="s">
        <v>614</v>
      </c>
      <c r="F2216" s="1">
        <v>2620604.0</v>
      </c>
    </row>
    <row r="2217">
      <c r="A2217" s="1">
        <v>2216.0</v>
      </c>
      <c r="B2217" s="1" t="s">
        <v>117</v>
      </c>
      <c r="C2217" s="1" t="s">
        <v>1389</v>
      </c>
      <c r="D2217" s="1">
        <v>1.0</v>
      </c>
      <c r="E2217" s="1" t="s">
        <v>614</v>
      </c>
      <c r="F2217" s="1">
        <v>170.0</v>
      </c>
    </row>
    <row r="2218">
      <c r="A2218" s="1">
        <v>2217.0</v>
      </c>
      <c r="B2218" s="1" t="s">
        <v>775</v>
      </c>
      <c r="C2218" s="1" t="s">
        <v>1389</v>
      </c>
      <c r="D2218" s="1">
        <v>1.0</v>
      </c>
      <c r="E2218" s="1" t="s">
        <v>614</v>
      </c>
      <c r="F2218" s="1">
        <v>1153066.0</v>
      </c>
    </row>
    <row r="2219">
      <c r="A2219" s="1">
        <v>2218.0</v>
      </c>
      <c r="B2219" s="1" t="s">
        <v>975</v>
      </c>
      <c r="C2219" s="1" t="s">
        <v>1389</v>
      </c>
      <c r="D2219" s="1">
        <v>1.0</v>
      </c>
      <c r="E2219" s="1" t="s">
        <v>614</v>
      </c>
      <c r="F2219" s="1">
        <v>2485970.0</v>
      </c>
    </row>
    <row r="2220">
      <c r="A2220" s="1">
        <v>2219.0</v>
      </c>
      <c r="B2220" s="1" t="s">
        <v>631</v>
      </c>
      <c r="C2220" s="1" t="s">
        <v>1389</v>
      </c>
      <c r="D2220" s="1">
        <v>1.0</v>
      </c>
      <c r="E2220" s="1" t="s">
        <v>614</v>
      </c>
      <c r="F2220" s="1">
        <v>1083241.0</v>
      </c>
    </row>
    <row r="2221">
      <c r="A2221" s="1">
        <v>2220.0</v>
      </c>
      <c r="B2221" s="1" t="s">
        <v>1471</v>
      </c>
      <c r="C2221" s="1" t="s">
        <v>1389</v>
      </c>
      <c r="D2221" s="1">
        <v>1.0</v>
      </c>
      <c r="E2221" s="1" t="s">
        <v>614</v>
      </c>
      <c r="F2221" s="1">
        <v>15837.0</v>
      </c>
    </row>
    <row r="2222">
      <c r="A2222" s="1">
        <v>2221.0</v>
      </c>
      <c r="B2222" s="1" t="s">
        <v>1472</v>
      </c>
      <c r="C2222" s="1" t="s">
        <v>1389</v>
      </c>
      <c r="D2222" s="1">
        <v>1.0</v>
      </c>
      <c r="E2222" s="1" t="s">
        <v>614</v>
      </c>
      <c r="F2222" s="1">
        <v>822870.0</v>
      </c>
    </row>
    <row r="2223">
      <c r="A2223" s="1">
        <v>2222.0</v>
      </c>
      <c r="B2223" s="1" t="s">
        <v>59</v>
      </c>
      <c r="C2223" s="1" t="s">
        <v>1389</v>
      </c>
      <c r="D2223" s="1">
        <v>1.0</v>
      </c>
      <c r="E2223" s="1" t="s">
        <v>614</v>
      </c>
      <c r="F2223" s="1">
        <v>3014651.0</v>
      </c>
    </row>
    <row r="2224">
      <c r="A2224" s="1">
        <v>2223.0</v>
      </c>
      <c r="B2224" s="1" t="s">
        <v>189</v>
      </c>
      <c r="C2224" s="1" t="s">
        <v>1389</v>
      </c>
      <c r="D2224" s="1">
        <v>1.0</v>
      </c>
      <c r="E2224" s="1" t="s">
        <v>614</v>
      </c>
      <c r="F2224" s="1">
        <v>816.0</v>
      </c>
    </row>
    <row r="2225">
      <c r="A2225" s="1">
        <v>2224.0</v>
      </c>
      <c r="B2225" s="1" t="s">
        <v>693</v>
      </c>
      <c r="C2225" s="1" t="s">
        <v>1389</v>
      </c>
      <c r="D2225" s="1">
        <v>1.0</v>
      </c>
      <c r="E2225" s="1" t="s">
        <v>614</v>
      </c>
      <c r="F2225" s="1">
        <v>850000.0</v>
      </c>
    </row>
    <row r="2226">
      <c r="A2226" s="1">
        <v>2225.0</v>
      </c>
      <c r="B2226" s="1" t="s">
        <v>300</v>
      </c>
      <c r="C2226" s="1" t="s">
        <v>1389</v>
      </c>
      <c r="D2226" s="1">
        <v>1.0</v>
      </c>
      <c r="E2226" s="1" t="s">
        <v>614</v>
      </c>
      <c r="F2226" s="1">
        <v>2719803.0</v>
      </c>
    </row>
    <row r="2227">
      <c r="A2227" s="1">
        <v>2226.0</v>
      </c>
      <c r="B2227" s="1" t="s">
        <v>773</v>
      </c>
      <c r="C2227" s="1" t="s">
        <v>1389</v>
      </c>
      <c r="D2227" s="1">
        <v>1.0</v>
      </c>
      <c r="E2227" s="1" t="s">
        <v>614</v>
      </c>
      <c r="F2227" s="1">
        <v>460764.0</v>
      </c>
    </row>
    <row r="2228">
      <c r="A2228" s="1">
        <v>2227.0</v>
      </c>
      <c r="B2228" s="1" t="s">
        <v>1473</v>
      </c>
      <c r="C2228" s="1" t="s">
        <v>1389</v>
      </c>
      <c r="D2228" s="1">
        <v>1.0</v>
      </c>
      <c r="E2228" s="1" t="s">
        <v>614</v>
      </c>
      <c r="F2228" s="1">
        <v>361080.0</v>
      </c>
    </row>
    <row r="2229">
      <c r="A2229" s="1">
        <v>2228.0</v>
      </c>
      <c r="B2229" s="1" t="s">
        <v>620</v>
      </c>
      <c r="C2229" s="1" t="s">
        <v>1389</v>
      </c>
      <c r="D2229" s="1">
        <v>1.0</v>
      </c>
      <c r="E2229" s="1" t="s">
        <v>614</v>
      </c>
      <c r="F2229" s="1">
        <v>75673.0</v>
      </c>
    </row>
    <row r="2230">
      <c r="A2230" s="1">
        <v>2229.0</v>
      </c>
      <c r="B2230" s="1" t="s">
        <v>1474</v>
      </c>
      <c r="C2230" s="1" t="s">
        <v>1389</v>
      </c>
      <c r="D2230" s="1">
        <v>1.0</v>
      </c>
      <c r="E2230" s="1" t="s">
        <v>614</v>
      </c>
      <c r="F2230" s="1">
        <v>847371.0</v>
      </c>
    </row>
    <row r="2231">
      <c r="A2231" s="1">
        <v>2230.0</v>
      </c>
      <c r="B2231" s="1" t="s">
        <v>1475</v>
      </c>
      <c r="C2231" s="1" t="s">
        <v>1389</v>
      </c>
      <c r="D2231" s="1">
        <v>1.0</v>
      </c>
      <c r="E2231" s="1" t="s">
        <v>614</v>
      </c>
      <c r="F2231" s="1">
        <v>886611.0</v>
      </c>
    </row>
    <row r="2232">
      <c r="A2232" s="1">
        <v>2231.0</v>
      </c>
      <c r="B2232" s="1" t="s">
        <v>1476</v>
      </c>
      <c r="C2232" s="1" t="s">
        <v>1389</v>
      </c>
      <c r="D2232" s="1">
        <v>1.0</v>
      </c>
      <c r="E2232" s="1" t="s">
        <v>614</v>
      </c>
      <c r="F2232" s="1">
        <v>2266502.0</v>
      </c>
    </row>
    <row r="2233">
      <c r="A2233" s="1">
        <v>2232.0</v>
      </c>
      <c r="B2233" s="1" t="s">
        <v>1477</v>
      </c>
      <c r="C2233" s="1" t="s">
        <v>1389</v>
      </c>
      <c r="D2233" s="1">
        <v>1.0</v>
      </c>
      <c r="E2233" s="1" t="s">
        <v>614</v>
      </c>
      <c r="F2233" s="1">
        <v>258900.0</v>
      </c>
    </row>
    <row r="2234">
      <c r="A2234" s="1">
        <v>2233.0</v>
      </c>
      <c r="B2234" s="1" t="s">
        <v>1478</v>
      </c>
      <c r="C2234" s="1" t="s">
        <v>1389</v>
      </c>
      <c r="D2234" s="1">
        <v>1.0</v>
      </c>
      <c r="E2234" s="1" t="s">
        <v>614</v>
      </c>
      <c r="F2234" s="1">
        <v>68136.0</v>
      </c>
    </row>
    <row r="2235">
      <c r="A2235" s="1">
        <v>2234.0</v>
      </c>
      <c r="B2235" s="1" t="s">
        <v>1479</v>
      </c>
      <c r="C2235" s="1" t="s">
        <v>1389</v>
      </c>
      <c r="D2235" s="1">
        <v>1.0</v>
      </c>
      <c r="E2235" s="1" t="s">
        <v>614</v>
      </c>
      <c r="F2235" s="1">
        <v>146754.0</v>
      </c>
    </row>
    <row r="2236">
      <c r="A2236" s="1">
        <v>2235.0</v>
      </c>
      <c r="B2236" s="1" t="s">
        <v>756</v>
      </c>
      <c r="C2236" s="1" t="s">
        <v>1389</v>
      </c>
      <c r="D2236" s="1">
        <v>1.0</v>
      </c>
      <c r="E2236" s="1" t="s">
        <v>614</v>
      </c>
      <c r="F2236" s="1">
        <v>1761151.0</v>
      </c>
    </row>
    <row r="2237">
      <c r="A2237" s="1">
        <v>2236.0</v>
      </c>
      <c r="B2237" s="1" t="s">
        <v>1480</v>
      </c>
      <c r="C2237" s="1" t="s">
        <v>1389</v>
      </c>
      <c r="D2237" s="1">
        <v>1.0</v>
      </c>
      <c r="E2237" s="1" t="s">
        <v>614</v>
      </c>
      <c r="F2237" s="1">
        <v>474218.0</v>
      </c>
    </row>
    <row r="2238">
      <c r="A2238" s="1">
        <v>2237.0</v>
      </c>
      <c r="B2238" s="1" t="s">
        <v>643</v>
      </c>
      <c r="C2238" s="1" t="s">
        <v>1389</v>
      </c>
      <c r="D2238" s="1">
        <v>1.0</v>
      </c>
      <c r="E2238" s="1" t="s">
        <v>614</v>
      </c>
      <c r="F2238" s="1">
        <v>1015458.0</v>
      </c>
    </row>
    <row r="2239">
      <c r="A2239" s="1">
        <v>2238.0</v>
      </c>
      <c r="B2239" s="1" t="s">
        <v>1481</v>
      </c>
      <c r="C2239" s="1" t="s">
        <v>1389</v>
      </c>
      <c r="D2239" s="1">
        <v>1.0</v>
      </c>
      <c r="E2239" s="1" t="s">
        <v>614</v>
      </c>
      <c r="F2239" s="1">
        <v>81448.0</v>
      </c>
    </row>
    <row r="2240">
      <c r="A2240" s="1">
        <v>2239.0</v>
      </c>
      <c r="B2240" s="1" t="s">
        <v>1482</v>
      </c>
      <c r="C2240" s="1" t="s">
        <v>1389</v>
      </c>
      <c r="D2240" s="1">
        <v>1.0</v>
      </c>
      <c r="E2240" s="1" t="s">
        <v>614</v>
      </c>
      <c r="F2240" s="1">
        <v>62.0</v>
      </c>
    </row>
    <row r="2241">
      <c r="A2241" s="1">
        <v>2240.0</v>
      </c>
      <c r="B2241" s="1" t="s">
        <v>1483</v>
      </c>
      <c r="C2241" s="1" t="s">
        <v>1389</v>
      </c>
      <c r="D2241" s="1">
        <v>16.0</v>
      </c>
      <c r="E2241" s="1" t="s">
        <v>614</v>
      </c>
      <c r="F2241" s="1">
        <v>796277.0</v>
      </c>
    </row>
    <row r="2242">
      <c r="A2242" s="1">
        <v>2241.0</v>
      </c>
      <c r="B2242" s="1" t="s">
        <v>1484</v>
      </c>
      <c r="C2242" s="1" t="s">
        <v>1389</v>
      </c>
      <c r="D2242" s="1">
        <v>15.0</v>
      </c>
      <c r="E2242" s="1" t="s">
        <v>614</v>
      </c>
      <c r="F2242" s="1">
        <v>797112.0</v>
      </c>
    </row>
    <row r="2243">
      <c r="A2243" s="1">
        <v>2242.0</v>
      </c>
      <c r="B2243" s="1" t="s">
        <v>1485</v>
      </c>
      <c r="C2243" s="1" t="s">
        <v>1389</v>
      </c>
      <c r="D2243" s="1">
        <v>8.0</v>
      </c>
      <c r="E2243" s="1" t="s">
        <v>614</v>
      </c>
      <c r="F2243" s="1">
        <v>532946.0</v>
      </c>
    </row>
    <row r="2244">
      <c r="A2244" s="1">
        <v>2243.0</v>
      </c>
      <c r="B2244" s="1" t="s">
        <v>1486</v>
      </c>
      <c r="C2244" s="1" t="s">
        <v>1389</v>
      </c>
      <c r="D2244" s="1">
        <v>6.0</v>
      </c>
      <c r="E2244" s="1" t="s">
        <v>614</v>
      </c>
      <c r="F2244" s="1">
        <v>614349.0</v>
      </c>
    </row>
    <row r="2245">
      <c r="A2245" s="1">
        <v>2244.0</v>
      </c>
      <c r="B2245" s="1" t="s">
        <v>469</v>
      </c>
      <c r="C2245" s="1" t="s">
        <v>1389</v>
      </c>
      <c r="D2245" s="1">
        <v>31.0</v>
      </c>
      <c r="E2245" s="1" t="s">
        <v>789</v>
      </c>
      <c r="F2245" s="1">
        <v>1296048.0</v>
      </c>
    </row>
    <row r="2246">
      <c r="A2246" s="1">
        <v>2245.0</v>
      </c>
      <c r="B2246" s="1" t="s">
        <v>9</v>
      </c>
      <c r="C2246" s="1" t="s">
        <v>1389</v>
      </c>
      <c r="D2246" s="1">
        <v>27.0</v>
      </c>
      <c r="E2246" s="1" t="s">
        <v>789</v>
      </c>
      <c r="F2246" s="1">
        <v>15.0</v>
      </c>
    </row>
    <row r="2247">
      <c r="A2247" s="1">
        <v>2246.0</v>
      </c>
      <c r="B2247" s="1" t="s">
        <v>817</v>
      </c>
      <c r="C2247" s="1" t="s">
        <v>1389</v>
      </c>
      <c r="D2247" s="1">
        <v>10.0</v>
      </c>
      <c r="E2247" s="1" t="s">
        <v>789</v>
      </c>
      <c r="F2247" s="1">
        <v>838568.0</v>
      </c>
    </row>
    <row r="2248">
      <c r="A2248" s="1">
        <v>2247.0</v>
      </c>
      <c r="B2248" s="1" t="s">
        <v>16</v>
      </c>
      <c r="C2248" s="1" t="s">
        <v>1389</v>
      </c>
      <c r="D2248" s="1">
        <v>8.0</v>
      </c>
      <c r="E2248" s="1" t="s">
        <v>789</v>
      </c>
      <c r="F2248" s="1">
        <v>613915.0</v>
      </c>
    </row>
    <row r="2249">
      <c r="A2249" s="1">
        <v>2248.0</v>
      </c>
      <c r="B2249" s="1" t="s">
        <v>469</v>
      </c>
      <c r="C2249" s="1" t="s">
        <v>1389</v>
      </c>
      <c r="D2249" s="1">
        <v>7.0</v>
      </c>
      <c r="E2249" s="1" t="s">
        <v>789</v>
      </c>
      <c r="F2249" s="1">
        <v>24868.0</v>
      </c>
    </row>
    <row r="2250">
      <c r="A2250" s="1">
        <v>2249.0</v>
      </c>
      <c r="B2250" s="1" t="s">
        <v>807</v>
      </c>
      <c r="C2250" s="1" t="s">
        <v>1389</v>
      </c>
      <c r="D2250" s="1">
        <v>7.0</v>
      </c>
      <c r="E2250" s="1" t="s">
        <v>789</v>
      </c>
      <c r="F2250" s="1">
        <v>1161382.0</v>
      </c>
    </row>
    <row r="2251">
      <c r="A2251" s="1">
        <v>2250.0</v>
      </c>
      <c r="B2251" s="1" t="s">
        <v>805</v>
      </c>
      <c r="C2251" s="1" t="s">
        <v>1389</v>
      </c>
      <c r="D2251" s="1">
        <v>6.0</v>
      </c>
      <c r="E2251" s="1" t="s">
        <v>789</v>
      </c>
      <c r="F2251" s="1">
        <v>904145.0</v>
      </c>
    </row>
    <row r="2252">
      <c r="A2252" s="1">
        <v>2251.0</v>
      </c>
      <c r="B2252" s="1" t="s">
        <v>74</v>
      </c>
      <c r="C2252" s="1" t="s">
        <v>1389</v>
      </c>
      <c r="D2252" s="1">
        <v>4.0</v>
      </c>
      <c r="E2252" s="1" t="s">
        <v>789</v>
      </c>
      <c r="F2252" s="1">
        <v>1083545.0</v>
      </c>
    </row>
    <row r="2253">
      <c r="A2253" s="1">
        <v>2252.0</v>
      </c>
      <c r="B2253" s="1" t="s">
        <v>1487</v>
      </c>
      <c r="C2253" s="1" t="s">
        <v>1389</v>
      </c>
      <c r="D2253" s="1">
        <v>3.0</v>
      </c>
      <c r="E2253" s="1" t="s">
        <v>789</v>
      </c>
      <c r="F2253" s="1">
        <v>954842.0</v>
      </c>
    </row>
    <row r="2254">
      <c r="A2254" s="1">
        <v>2253.0</v>
      </c>
      <c r="B2254" s="1" t="s">
        <v>795</v>
      </c>
      <c r="C2254" s="1" t="s">
        <v>1389</v>
      </c>
      <c r="D2254" s="1">
        <v>3.0</v>
      </c>
      <c r="E2254" s="1" t="s">
        <v>789</v>
      </c>
      <c r="F2254" s="1">
        <v>716215.0</v>
      </c>
    </row>
    <row r="2255">
      <c r="A2255" s="1">
        <v>2254.0</v>
      </c>
      <c r="B2255" s="1" t="s">
        <v>54</v>
      </c>
      <c r="C2255" s="1" t="s">
        <v>1389</v>
      </c>
      <c r="D2255" s="1">
        <v>3.0</v>
      </c>
      <c r="E2255" s="1" t="s">
        <v>789</v>
      </c>
      <c r="F2255" s="1">
        <v>847539.0</v>
      </c>
    </row>
    <row r="2256">
      <c r="A2256" s="1">
        <v>2255.0</v>
      </c>
      <c r="B2256" s="1" t="s">
        <v>170</v>
      </c>
      <c r="C2256" s="1" t="s">
        <v>1389</v>
      </c>
      <c r="D2256" s="1">
        <v>3.0</v>
      </c>
      <c r="E2256" s="1" t="s">
        <v>789</v>
      </c>
      <c r="F2256" s="1">
        <v>108.0</v>
      </c>
    </row>
    <row r="2257">
      <c r="A2257" s="1">
        <v>2256.0</v>
      </c>
      <c r="B2257" s="1" t="s">
        <v>29</v>
      </c>
      <c r="C2257" s="1" t="s">
        <v>1389</v>
      </c>
      <c r="D2257" s="1">
        <v>3.0</v>
      </c>
      <c r="E2257" s="1" t="s">
        <v>789</v>
      </c>
      <c r="F2257" s="1">
        <v>699220.0</v>
      </c>
    </row>
    <row r="2258">
      <c r="A2258" s="1">
        <v>2257.0</v>
      </c>
      <c r="B2258" s="1" t="s">
        <v>635</v>
      </c>
      <c r="C2258" s="1" t="s">
        <v>1389</v>
      </c>
      <c r="D2258" s="1">
        <v>3.0</v>
      </c>
      <c r="E2258" s="1" t="s">
        <v>789</v>
      </c>
      <c r="F2258" s="1">
        <v>1067026.0</v>
      </c>
    </row>
    <row r="2259">
      <c r="A2259" s="1">
        <v>2258.0</v>
      </c>
      <c r="B2259" s="1" t="s">
        <v>1488</v>
      </c>
      <c r="C2259" s="1" t="s">
        <v>1389</v>
      </c>
      <c r="D2259" s="1">
        <v>3.0</v>
      </c>
      <c r="E2259" s="1" t="s">
        <v>789</v>
      </c>
      <c r="F2259" s="1">
        <v>917.0</v>
      </c>
    </row>
    <row r="2260">
      <c r="A2260" s="1">
        <v>2259.0</v>
      </c>
      <c r="B2260" s="1" t="s">
        <v>794</v>
      </c>
      <c r="C2260" s="1" t="s">
        <v>1389</v>
      </c>
      <c r="D2260" s="1">
        <v>3.0</v>
      </c>
      <c r="E2260" s="1" t="s">
        <v>789</v>
      </c>
      <c r="F2260" s="1">
        <v>880575.0</v>
      </c>
    </row>
    <row r="2261">
      <c r="A2261" s="1">
        <v>2260.0</v>
      </c>
      <c r="B2261" s="1" t="s">
        <v>1489</v>
      </c>
      <c r="C2261" s="1" t="s">
        <v>1389</v>
      </c>
      <c r="D2261" s="1">
        <v>2.0</v>
      </c>
      <c r="E2261" s="1" t="s">
        <v>789</v>
      </c>
      <c r="F2261" s="1">
        <v>1017343.0</v>
      </c>
    </row>
    <row r="2262">
      <c r="A2262" s="1">
        <v>2261.0</v>
      </c>
      <c r="B2262" s="1" t="s">
        <v>798</v>
      </c>
      <c r="C2262" s="1" t="s">
        <v>1389</v>
      </c>
      <c r="D2262" s="1">
        <v>2.0</v>
      </c>
      <c r="E2262" s="1" t="s">
        <v>789</v>
      </c>
      <c r="F2262" s="1">
        <v>1124024.0</v>
      </c>
    </row>
    <row r="2263">
      <c r="A2263" s="1">
        <v>2262.0</v>
      </c>
      <c r="B2263" s="1" t="s">
        <v>1490</v>
      </c>
      <c r="C2263" s="1" t="s">
        <v>1389</v>
      </c>
      <c r="D2263" s="1">
        <v>2.0</v>
      </c>
      <c r="E2263" s="1" t="s">
        <v>789</v>
      </c>
      <c r="F2263" s="1">
        <v>1642294.0</v>
      </c>
    </row>
    <row r="2264">
      <c r="A2264" s="1">
        <v>2263.0</v>
      </c>
      <c r="B2264" s="1" t="s">
        <v>1491</v>
      </c>
      <c r="C2264" s="1" t="s">
        <v>1389</v>
      </c>
      <c r="D2264" s="1">
        <v>2.0</v>
      </c>
      <c r="E2264" s="1" t="s">
        <v>789</v>
      </c>
      <c r="F2264" s="1">
        <v>1156731.0</v>
      </c>
    </row>
    <row r="2265">
      <c r="A2265" s="1">
        <v>2264.0</v>
      </c>
      <c r="B2265" s="1" t="s">
        <v>104</v>
      </c>
      <c r="C2265" s="1" t="s">
        <v>1389</v>
      </c>
      <c r="D2265" s="1">
        <v>2.0</v>
      </c>
      <c r="E2265" s="1" t="s">
        <v>789</v>
      </c>
      <c r="F2265" s="1">
        <v>71864.0</v>
      </c>
    </row>
    <row r="2266">
      <c r="A2266" s="1">
        <v>2265.0</v>
      </c>
      <c r="B2266" s="1" t="s">
        <v>1492</v>
      </c>
      <c r="C2266" s="1" t="s">
        <v>1389</v>
      </c>
      <c r="D2266" s="1">
        <v>2.0</v>
      </c>
      <c r="E2266" s="1" t="s">
        <v>789</v>
      </c>
      <c r="F2266" s="1">
        <v>70343.0</v>
      </c>
    </row>
    <row r="2267">
      <c r="A2267" s="1">
        <v>2266.0</v>
      </c>
      <c r="B2267" s="1" t="s">
        <v>27</v>
      </c>
      <c r="C2267" s="1" t="s">
        <v>1389</v>
      </c>
      <c r="D2267" s="1">
        <v>2.0</v>
      </c>
      <c r="E2267" s="1" t="s">
        <v>789</v>
      </c>
      <c r="F2267" s="1">
        <v>1346904.0</v>
      </c>
    </row>
    <row r="2268">
      <c r="A2268" s="1">
        <v>2267.0</v>
      </c>
      <c r="B2268" s="1" t="s">
        <v>95</v>
      </c>
      <c r="C2268" s="1" t="s">
        <v>1389</v>
      </c>
      <c r="D2268" s="1">
        <v>2.0</v>
      </c>
      <c r="E2268" s="1" t="s">
        <v>789</v>
      </c>
      <c r="F2268" s="1">
        <v>90390.0</v>
      </c>
    </row>
    <row r="2269">
      <c r="A2269" s="1">
        <v>2268.0</v>
      </c>
      <c r="B2269" s="1" t="s">
        <v>839</v>
      </c>
      <c r="C2269" s="1" t="s">
        <v>1389</v>
      </c>
      <c r="D2269" s="1">
        <v>2.0</v>
      </c>
      <c r="E2269" s="1" t="s">
        <v>789</v>
      </c>
      <c r="F2269" s="1">
        <v>1139800.0</v>
      </c>
    </row>
    <row r="2270">
      <c r="A2270" s="1">
        <v>2269.0</v>
      </c>
      <c r="B2270" s="1" t="s">
        <v>1097</v>
      </c>
      <c r="C2270" s="1" t="s">
        <v>1389</v>
      </c>
      <c r="D2270" s="1">
        <v>2.0</v>
      </c>
      <c r="E2270" s="1" t="s">
        <v>789</v>
      </c>
      <c r="F2270" s="1">
        <v>794110.0</v>
      </c>
    </row>
    <row r="2271">
      <c r="A2271" s="1">
        <v>2270.0</v>
      </c>
      <c r="B2271" s="1" t="s">
        <v>1493</v>
      </c>
      <c r="C2271" s="1" t="s">
        <v>1389</v>
      </c>
      <c r="D2271" s="1">
        <v>2.0</v>
      </c>
      <c r="E2271" s="1" t="s">
        <v>789</v>
      </c>
      <c r="F2271" s="1">
        <v>1251502.0</v>
      </c>
    </row>
    <row r="2272">
      <c r="A2272" s="1">
        <v>2271.0</v>
      </c>
      <c r="B2272" s="1" t="s">
        <v>1494</v>
      </c>
      <c r="C2272" s="1" t="s">
        <v>1389</v>
      </c>
      <c r="D2272" s="1">
        <v>2.0</v>
      </c>
      <c r="E2272" s="1" t="s">
        <v>789</v>
      </c>
      <c r="F2272" s="1">
        <v>2658491.0</v>
      </c>
    </row>
    <row r="2273">
      <c r="A2273" s="1">
        <v>2272.0</v>
      </c>
      <c r="B2273" s="1" t="s">
        <v>380</v>
      </c>
      <c r="C2273" s="1" t="s">
        <v>1389</v>
      </c>
      <c r="D2273" s="1">
        <v>2.0</v>
      </c>
      <c r="E2273" s="1" t="s">
        <v>789</v>
      </c>
      <c r="F2273" s="1">
        <v>416229.0</v>
      </c>
    </row>
    <row r="2274">
      <c r="A2274" s="1">
        <v>2273.0</v>
      </c>
      <c r="B2274" s="1" t="s">
        <v>116</v>
      </c>
      <c r="C2274" s="1" t="s">
        <v>1389</v>
      </c>
      <c r="D2274" s="1">
        <v>2.0</v>
      </c>
      <c r="E2274" s="1" t="s">
        <v>789</v>
      </c>
      <c r="F2274" s="1">
        <v>353684.0</v>
      </c>
    </row>
    <row r="2275">
      <c r="A2275" s="1">
        <v>2274.0</v>
      </c>
      <c r="B2275" s="1" t="s">
        <v>182</v>
      </c>
      <c r="C2275" s="1" t="s">
        <v>1389</v>
      </c>
      <c r="D2275" s="1">
        <v>2.0</v>
      </c>
      <c r="E2275" s="1" t="s">
        <v>789</v>
      </c>
      <c r="F2275" s="1">
        <v>791133.0</v>
      </c>
    </row>
    <row r="2276">
      <c r="A2276" s="1">
        <v>2275.0</v>
      </c>
      <c r="B2276" s="1" t="s">
        <v>59</v>
      </c>
      <c r="C2276" s="1" t="s">
        <v>1389</v>
      </c>
      <c r="D2276" s="1">
        <v>2.0</v>
      </c>
      <c r="E2276" s="1" t="s">
        <v>789</v>
      </c>
      <c r="F2276" s="1">
        <v>95593.0</v>
      </c>
    </row>
    <row r="2277">
      <c r="A2277" s="1">
        <v>2276.0</v>
      </c>
      <c r="B2277" s="1" t="s">
        <v>620</v>
      </c>
      <c r="C2277" s="1" t="s">
        <v>1389</v>
      </c>
      <c r="D2277" s="1">
        <v>2.0</v>
      </c>
      <c r="E2277" s="1" t="s">
        <v>789</v>
      </c>
      <c r="F2277" s="1">
        <v>92927.0</v>
      </c>
    </row>
    <row r="2278">
      <c r="A2278" s="1">
        <v>2277.0</v>
      </c>
      <c r="B2278" s="1" t="s">
        <v>1495</v>
      </c>
      <c r="C2278" s="1" t="s">
        <v>1389</v>
      </c>
      <c r="D2278" s="1">
        <v>2.0</v>
      </c>
      <c r="E2278" s="1" t="s">
        <v>789</v>
      </c>
      <c r="F2278" s="1">
        <v>28579.0</v>
      </c>
    </row>
    <row r="2279">
      <c r="A2279" s="1">
        <v>2278.0</v>
      </c>
      <c r="B2279" s="1" t="s">
        <v>1496</v>
      </c>
      <c r="C2279" s="1" t="s">
        <v>1389</v>
      </c>
      <c r="D2279" s="1">
        <v>2.0</v>
      </c>
      <c r="E2279" s="1" t="s">
        <v>789</v>
      </c>
      <c r="F2279" s="1">
        <v>413740.0</v>
      </c>
    </row>
    <row r="2280">
      <c r="A2280" s="1">
        <v>2279.0</v>
      </c>
      <c r="B2280" s="1" t="s">
        <v>1497</v>
      </c>
      <c r="C2280" s="1" t="s">
        <v>1389</v>
      </c>
      <c r="D2280" s="1">
        <v>2.0</v>
      </c>
      <c r="E2280" s="1" t="s">
        <v>789</v>
      </c>
      <c r="F2280" s="1">
        <v>872461.0</v>
      </c>
    </row>
    <row r="2281">
      <c r="A2281" s="1">
        <v>2280.0</v>
      </c>
      <c r="B2281" s="1" t="s">
        <v>1498</v>
      </c>
      <c r="C2281" s="1" t="s">
        <v>1389</v>
      </c>
      <c r="D2281" s="1">
        <v>1.0</v>
      </c>
      <c r="E2281" s="1" t="s">
        <v>789</v>
      </c>
      <c r="F2281" s="1">
        <v>250000.0</v>
      </c>
    </row>
    <row r="2282">
      <c r="A2282" s="1">
        <v>2281.0</v>
      </c>
      <c r="B2282" s="1" t="s">
        <v>1499</v>
      </c>
      <c r="C2282" s="1" t="s">
        <v>1389</v>
      </c>
      <c r="D2282" s="1">
        <v>1.0</v>
      </c>
      <c r="E2282" s="1" t="s">
        <v>789</v>
      </c>
      <c r="F2282" s="1">
        <v>1490685.0</v>
      </c>
    </row>
    <row r="2283">
      <c r="A2283" s="1">
        <v>2282.0</v>
      </c>
      <c r="B2283" s="1" t="s">
        <v>1500</v>
      </c>
      <c r="C2283" s="1" t="s">
        <v>1389</v>
      </c>
      <c r="D2283" s="1">
        <v>1.0</v>
      </c>
      <c r="E2283" s="1" t="s">
        <v>789</v>
      </c>
      <c r="F2283" s="1">
        <v>523814.0</v>
      </c>
    </row>
    <row r="2284">
      <c r="A2284" s="1">
        <v>2283.0</v>
      </c>
      <c r="B2284" s="1" t="s">
        <v>636</v>
      </c>
      <c r="C2284" s="1" t="s">
        <v>1389</v>
      </c>
      <c r="D2284" s="1">
        <v>1.0</v>
      </c>
      <c r="E2284" s="1" t="s">
        <v>789</v>
      </c>
      <c r="F2284" s="1">
        <v>24434.0</v>
      </c>
    </row>
    <row r="2285">
      <c r="A2285" s="1">
        <v>2284.0</v>
      </c>
      <c r="B2285" s="1" t="s">
        <v>1501</v>
      </c>
      <c r="C2285" s="1" t="s">
        <v>1389</v>
      </c>
      <c r="D2285" s="1">
        <v>1.0</v>
      </c>
      <c r="E2285" s="1" t="s">
        <v>789</v>
      </c>
      <c r="F2285" s="1">
        <v>17.0</v>
      </c>
    </row>
    <row r="2286">
      <c r="A2286" s="1">
        <v>2285.0</v>
      </c>
      <c r="B2286" s="1" t="s">
        <v>1502</v>
      </c>
      <c r="C2286" s="1" t="s">
        <v>1389</v>
      </c>
      <c r="D2286" s="1">
        <v>1.0</v>
      </c>
      <c r="E2286" s="1" t="s">
        <v>789</v>
      </c>
      <c r="F2286" s="1">
        <v>866307.0</v>
      </c>
    </row>
    <row r="2287">
      <c r="A2287" s="1">
        <v>2286.0</v>
      </c>
      <c r="B2287" s="1" t="s">
        <v>38</v>
      </c>
      <c r="C2287" s="1" t="s">
        <v>1389</v>
      </c>
      <c r="D2287" s="1">
        <v>1.0</v>
      </c>
      <c r="E2287" s="1" t="s">
        <v>789</v>
      </c>
      <c r="F2287" s="1">
        <v>1317316.0</v>
      </c>
    </row>
    <row r="2288">
      <c r="A2288" s="1">
        <v>2287.0</v>
      </c>
      <c r="B2288" s="1" t="s">
        <v>1503</v>
      </c>
      <c r="C2288" s="1" t="s">
        <v>1389</v>
      </c>
      <c r="D2288" s="1">
        <v>1.0</v>
      </c>
      <c r="E2288" s="1" t="s">
        <v>789</v>
      </c>
      <c r="F2288" s="1">
        <v>27200.0</v>
      </c>
    </row>
    <row r="2289">
      <c r="A2289" s="1">
        <v>2288.0</v>
      </c>
      <c r="B2289" s="1" t="s">
        <v>1504</v>
      </c>
      <c r="C2289" s="1" t="s">
        <v>1389</v>
      </c>
      <c r="D2289" s="1">
        <v>1.0</v>
      </c>
      <c r="E2289" s="1" t="s">
        <v>789</v>
      </c>
      <c r="F2289" s="1">
        <v>104824.0</v>
      </c>
    </row>
    <row r="2290">
      <c r="A2290" s="1">
        <v>2289.0</v>
      </c>
      <c r="B2290" s="1" t="s">
        <v>1505</v>
      </c>
      <c r="C2290" s="1" t="s">
        <v>1389</v>
      </c>
      <c r="D2290" s="1">
        <v>1.0</v>
      </c>
      <c r="E2290" s="1" t="s">
        <v>789</v>
      </c>
      <c r="F2290" s="1">
        <v>15618.0</v>
      </c>
    </row>
    <row r="2291">
      <c r="A2291" s="1">
        <v>2290.0</v>
      </c>
      <c r="B2291" s="1" t="s">
        <v>1506</v>
      </c>
      <c r="C2291" s="1" t="s">
        <v>1389</v>
      </c>
      <c r="D2291" s="1">
        <v>1.0</v>
      </c>
      <c r="E2291" s="1" t="s">
        <v>789</v>
      </c>
      <c r="F2291" s="1">
        <v>54207.0</v>
      </c>
    </row>
    <row r="2292">
      <c r="A2292" s="1">
        <v>2291.0</v>
      </c>
      <c r="B2292" s="1" t="s">
        <v>1507</v>
      </c>
      <c r="C2292" s="1" t="s">
        <v>1389</v>
      </c>
      <c r="D2292" s="1">
        <v>1.0</v>
      </c>
      <c r="E2292" s="1" t="s">
        <v>789</v>
      </c>
      <c r="F2292" s="1">
        <v>36108.0</v>
      </c>
    </row>
    <row r="2293">
      <c r="A2293" s="1">
        <v>2292.0</v>
      </c>
      <c r="B2293" s="1" t="s">
        <v>1508</v>
      </c>
      <c r="C2293" s="1" t="s">
        <v>1389</v>
      </c>
      <c r="D2293" s="1">
        <v>1.0</v>
      </c>
      <c r="E2293" s="1" t="s">
        <v>789</v>
      </c>
      <c r="F2293" s="1">
        <v>26823.0</v>
      </c>
    </row>
    <row r="2294">
      <c r="A2294" s="1">
        <v>2293.0</v>
      </c>
      <c r="B2294" s="1" t="s">
        <v>1509</v>
      </c>
      <c r="C2294" s="1" t="s">
        <v>1389</v>
      </c>
      <c r="D2294" s="1">
        <v>1.0</v>
      </c>
      <c r="E2294" s="1" t="s">
        <v>789</v>
      </c>
      <c r="F2294" s="1">
        <v>145.0</v>
      </c>
    </row>
    <row r="2295">
      <c r="A2295" s="1">
        <v>2294.0</v>
      </c>
      <c r="B2295" s="1" t="s">
        <v>1510</v>
      </c>
      <c r="C2295" s="1" t="s">
        <v>1389</v>
      </c>
      <c r="D2295" s="1">
        <v>1.0</v>
      </c>
      <c r="E2295" s="1" t="s">
        <v>789</v>
      </c>
      <c r="F2295" s="1">
        <v>4.0</v>
      </c>
    </row>
    <row r="2296">
      <c r="A2296" s="1">
        <v>2295.0</v>
      </c>
      <c r="B2296" s="1" t="s">
        <v>793</v>
      </c>
      <c r="C2296" s="1" t="s">
        <v>1389</v>
      </c>
      <c r="D2296" s="1">
        <v>1.0</v>
      </c>
      <c r="E2296" s="1" t="s">
        <v>789</v>
      </c>
      <c r="F2296" s="1">
        <v>1020348.0</v>
      </c>
    </row>
    <row r="2297">
      <c r="A2297" s="1">
        <v>2296.0</v>
      </c>
      <c r="B2297" s="1" t="s">
        <v>823</v>
      </c>
      <c r="C2297" s="1" t="s">
        <v>1389</v>
      </c>
      <c r="D2297" s="1">
        <v>1.0</v>
      </c>
      <c r="E2297" s="1" t="s">
        <v>789</v>
      </c>
      <c r="F2297" s="1">
        <v>64.0</v>
      </c>
    </row>
    <row r="2298">
      <c r="A2298" s="1">
        <v>2297.0</v>
      </c>
      <c r="B2298" s="1" t="s">
        <v>1511</v>
      </c>
      <c r="C2298" s="1" t="s">
        <v>1389</v>
      </c>
      <c r="D2298" s="1">
        <v>1.0</v>
      </c>
      <c r="E2298" s="1" t="s">
        <v>789</v>
      </c>
      <c r="F2298" s="1">
        <v>642103.0</v>
      </c>
    </row>
    <row r="2299">
      <c r="A2299" s="1">
        <v>2298.0</v>
      </c>
      <c r="B2299" s="1" t="s">
        <v>1027</v>
      </c>
      <c r="C2299" s="1" t="s">
        <v>1389</v>
      </c>
      <c r="D2299" s="1">
        <v>1.0</v>
      </c>
      <c r="E2299" s="1" t="s">
        <v>789</v>
      </c>
      <c r="F2299" s="1">
        <v>929931.0</v>
      </c>
    </row>
    <row r="2300">
      <c r="A2300" s="1">
        <v>2299.0</v>
      </c>
      <c r="B2300" s="1" t="s">
        <v>801</v>
      </c>
      <c r="C2300" s="1" t="s">
        <v>1389</v>
      </c>
      <c r="D2300" s="1">
        <v>1.0</v>
      </c>
      <c r="E2300" s="1" t="s">
        <v>789</v>
      </c>
      <c r="F2300" s="1">
        <v>3054284.0</v>
      </c>
    </row>
    <row r="2301">
      <c r="A2301" s="1">
        <v>2300.0</v>
      </c>
      <c r="B2301" s="1" t="s">
        <v>106</v>
      </c>
      <c r="C2301" s="1" t="s">
        <v>1389</v>
      </c>
      <c r="D2301" s="1">
        <v>1.0</v>
      </c>
      <c r="E2301" s="1" t="s">
        <v>789</v>
      </c>
      <c r="F2301" s="1">
        <v>1572363.0</v>
      </c>
    </row>
    <row r="2302">
      <c r="A2302" s="1">
        <v>2301.0</v>
      </c>
      <c r="B2302" s="1" t="s">
        <v>1512</v>
      </c>
      <c r="C2302" s="1" t="s">
        <v>1389</v>
      </c>
      <c r="D2302" s="1">
        <v>1.0</v>
      </c>
      <c r="E2302" s="1" t="s">
        <v>789</v>
      </c>
      <c r="F2302" s="1">
        <v>1030115.0</v>
      </c>
    </row>
    <row r="2303">
      <c r="A2303" s="1">
        <v>2302.0</v>
      </c>
      <c r="B2303" s="1" t="s">
        <v>1513</v>
      </c>
      <c r="C2303" s="1" t="s">
        <v>1389</v>
      </c>
      <c r="D2303" s="1">
        <v>1.0</v>
      </c>
      <c r="E2303" s="1" t="s">
        <v>789</v>
      </c>
      <c r="F2303" s="1">
        <v>52412.0</v>
      </c>
    </row>
    <row r="2304">
      <c r="A2304" s="1">
        <v>2303.0</v>
      </c>
      <c r="B2304" s="1" t="s">
        <v>1514</v>
      </c>
      <c r="C2304" s="1" t="s">
        <v>1389</v>
      </c>
      <c r="D2304" s="1">
        <v>1.0</v>
      </c>
      <c r="E2304" s="1" t="s">
        <v>789</v>
      </c>
      <c r="F2304" s="1">
        <v>1792230.0</v>
      </c>
    </row>
    <row r="2305">
      <c r="A2305" s="1">
        <v>2304.0</v>
      </c>
      <c r="B2305" s="1" t="s">
        <v>975</v>
      </c>
      <c r="C2305" s="1" t="s">
        <v>1389</v>
      </c>
      <c r="D2305" s="1">
        <v>1.0</v>
      </c>
      <c r="E2305" s="1" t="s">
        <v>789</v>
      </c>
      <c r="F2305" s="1">
        <v>510000.0</v>
      </c>
    </row>
    <row r="2306">
      <c r="A2306" s="1">
        <v>2305.0</v>
      </c>
      <c r="B2306" s="1" t="s">
        <v>870</v>
      </c>
      <c r="C2306" s="1" t="s">
        <v>1389</v>
      </c>
      <c r="D2306" s="1">
        <v>1.0</v>
      </c>
      <c r="E2306" s="1" t="s">
        <v>789</v>
      </c>
      <c r="F2306" s="1">
        <v>387.0</v>
      </c>
    </row>
    <row r="2307">
      <c r="A2307" s="1">
        <v>2306.0</v>
      </c>
      <c r="B2307" s="1" t="s">
        <v>1515</v>
      </c>
      <c r="C2307" s="1" t="s">
        <v>1389</v>
      </c>
      <c r="D2307" s="1">
        <v>1.0</v>
      </c>
      <c r="E2307" s="1" t="s">
        <v>789</v>
      </c>
      <c r="F2307" s="1">
        <v>77698.0</v>
      </c>
    </row>
    <row r="2308">
      <c r="A2308" s="1">
        <v>2307.0</v>
      </c>
      <c r="B2308" s="1" t="s">
        <v>1516</v>
      </c>
      <c r="C2308" s="1" t="s">
        <v>1389</v>
      </c>
      <c r="D2308" s="1">
        <v>1.0</v>
      </c>
      <c r="E2308" s="1" t="s">
        <v>789</v>
      </c>
      <c r="F2308" s="1">
        <v>38.0</v>
      </c>
    </row>
    <row r="2309">
      <c r="A2309" s="1">
        <v>2308.0</v>
      </c>
      <c r="B2309" s="1" t="s">
        <v>1517</v>
      </c>
      <c r="C2309" s="1" t="s">
        <v>1389</v>
      </c>
      <c r="D2309" s="1">
        <v>1.0</v>
      </c>
      <c r="E2309" s="1" t="s">
        <v>789</v>
      </c>
      <c r="F2309" s="1">
        <v>279976.0</v>
      </c>
    </row>
    <row r="2310">
      <c r="A2310" s="1">
        <v>2309.0</v>
      </c>
      <c r="B2310" s="1" t="s">
        <v>1518</v>
      </c>
      <c r="C2310" s="1" t="s">
        <v>1389</v>
      </c>
      <c r="D2310" s="1">
        <v>1.0</v>
      </c>
      <c r="E2310" s="1" t="s">
        <v>789</v>
      </c>
      <c r="F2310" s="1">
        <v>119.0</v>
      </c>
    </row>
    <row r="2311">
      <c r="A2311" s="1">
        <v>2310.0</v>
      </c>
      <c r="B2311" s="1" t="s">
        <v>1519</v>
      </c>
      <c r="C2311" s="1" t="s">
        <v>1389</v>
      </c>
      <c r="D2311" s="1">
        <v>1.0</v>
      </c>
      <c r="E2311" s="1" t="s">
        <v>789</v>
      </c>
      <c r="F2311" s="1">
        <v>391540.0</v>
      </c>
    </row>
    <row r="2312">
      <c r="A2312" s="1">
        <v>2311.0</v>
      </c>
      <c r="B2312" s="1" t="s">
        <v>1520</v>
      </c>
      <c r="C2312" s="1" t="s">
        <v>1389</v>
      </c>
      <c r="D2312" s="1">
        <v>1.0</v>
      </c>
      <c r="E2312" s="1" t="s">
        <v>789</v>
      </c>
      <c r="F2312" s="1">
        <v>725546.0</v>
      </c>
    </row>
    <row r="2313">
      <c r="A2313" s="1">
        <v>2312.0</v>
      </c>
      <c r="B2313" s="1" t="s">
        <v>16</v>
      </c>
      <c r="C2313" s="1" t="s">
        <v>1389</v>
      </c>
      <c r="D2313" s="1">
        <v>1.0</v>
      </c>
      <c r="E2313" s="1" t="s">
        <v>789</v>
      </c>
      <c r="F2313" s="1">
        <v>100000.0</v>
      </c>
    </row>
    <row r="2314">
      <c r="A2314" s="1">
        <v>2313.0</v>
      </c>
      <c r="B2314" s="1" t="s">
        <v>1521</v>
      </c>
      <c r="C2314" s="1" t="s">
        <v>1389</v>
      </c>
      <c r="D2314" s="1">
        <v>1.0</v>
      </c>
      <c r="E2314" s="1" t="s">
        <v>789</v>
      </c>
      <c r="F2314" s="1">
        <v>115.0</v>
      </c>
    </row>
    <row r="2315">
      <c r="A2315" s="1">
        <v>2314.0</v>
      </c>
      <c r="B2315" s="1" t="s">
        <v>1177</v>
      </c>
      <c r="C2315" s="1" t="s">
        <v>1389</v>
      </c>
      <c r="D2315" s="1">
        <v>1.0</v>
      </c>
      <c r="E2315" s="1" t="s">
        <v>789</v>
      </c>
      <c r="F2315" s="1">
        <v>28334.0</v>
      </c>
    </row>
    <row r="2316">
      <c r="A2316" s="1">
        <v>2315.0</v>
      </c>
      <c r="B2316" s="1" t="s">
        <v>330</v>
      </c>
      <c r="C2316" s="1" t="s">
        <v>1389</v>
      </c>
      <c r="D2316" s="1">
        <v>1.0</v>
      </c>
      <c r="E2316" s="1" t="s">
        <v>789</v>
      </c>
      <c r="F2316" s="1">
        <v>681900.0</v>
      </c>
    </row>
    <row r="2317">
      <c r="A2317" s="1">
        <v>2316.0</v>
      </c>
      <c r="B2317" s="1" t="s">
        <v>1006</v>
      </c>
      <c r="C2317" s="1" t="s">
        <v>1389</v>
      </c>
      <c r="D2317" s="1">
        <v>1.0</v>
      </c>
      <c r="E2317" s="1" t="s">
        <v>789</v>
      </c>
      <c r="F2317" s="1">
        <v>580000.0</v>
      </c>
    </row>
    <row r="2318">
      <c r="A2318" s="1">
        <v>2317.0</v>
      </c>
      <c r="B2318" s="1" t="s">
        <v>1522</v>
      </c>
      <c r="C2318" s="1" t="s">
        <v>1389</v>
      </c>
      <c r="D2318" s="1">
        <v>1.0</v>
      </c>
      <c r="E2318" s="1" t="s">
        <v>789</v>
      </c>
      <c r="F2318" s="1">
        <v>575000.0</v>
      </c>
    </row>
    <row r="2319">
      <c r="A2319" s="1">
        <v>2318.0</v>
      </c>
      <c r="B2319" s="1" t="s">
        <v>773</v>
      </c>
      <c r="C2319" s="1" t="s">
        <v>1389</v>
      </c>
      <c r="D2319" s="1">
        <v>1.0</v>
      </c>
      <c r="E2319" s="1" t="s">
        <v>789</v>
      </c>
      <c r="F2319" s="1">
        <v>123455.0</v>
      </c>
    </row>
    <row r="2320">
      <c r="A2320" s="1">
        <v>2319.0</v>
      </c>
      <c r="B2320" s="1" t="s">
        <v>1523</v>
      </c>
      <c r="C2320" s="1" t="s">
        <v>1389</v>
      </c>
      <c r="D2320" s="1">
        <v>1.0</v>
      </c>
      <c r="E2320" s="1" t="s">
        <v>789</v>
      </c>
      <c r="F2320" s="1">
        <v>661762.0</v>
      </c>
    </row>
    <row r="2321">
      <c r="A2321" s="1">
        <v>2320.0</v>
      </c>
      <c r="B2321" s="1" t="s">
        <v>16</v>
      </c>
      <c r="C2321" s="1" t="s">
        <v>1389</v>
      </c>
      <c r="D2321" s="1">
        <v>1.0</v>
      </c>
      <c r="E2321" s="1" t="s">
        <v>789</v>
      </c>
      <c r="F2321" s="1">
        <v>820000.0</v>
      </c>
    </row>
    <row r="2322">
      <c r="A2322" s="1">
        <v>2321.0</v>
      </c>
      <c r="B2322" s="1" t="s">
        <v>1035</v>
      </c>
      <c r="C2322" s="1" t="s">
        <v>1389</v>
      </c>
      <c r="D2322" s="1">
        <v>1.0</v>
      </c>
      <c r="E2322" s="1" t="s">
        <v>789</v>
      </c>
      <c r="F2322" s="1">
        <v>3000000.0</v>
      </c>
    </row>
    <row r="2323">
      <c r="A2323" s="1">
        <v>2322.0</v>
      </c>
      <c r="B2323" s="1" t="s">
        <v>1524</v>
      </c>
      <c r="C2323" s="1" t="s">
        <v>1389</v>
      </c>
      <c r="D2323" s="1">
        <v>1.0</v>
      </c>
      <c r="E2323" s="1" t="s">
        <v>789</v>
      </c>
      <c r="F2323" s="1">
        <v>482344.0</v>
      </c>
    </row>
    <row r="2324">
      <c r="A2324" s="1">
        <v>2323.0</v>
      </c>
      <c r="B2324" s="1" t="s">
        <v>1525</v>
      </c>
      <c r="C2324" s="1" t="s">
        <v>1389</v>
      </c>
      <c r="D2324" s="1">
        <v>1.0</v>
      </c>
      <c r="E2324" s="1" t="s">
        <v>789</v>
      </c>
      <c r="F2324" s="1">
        <v>36094.0</v>
      </c>
    </row>
    <row r="2325">
      <c r="A2325" s="1">
        <v>2324.0</v>
      </c>
      <c r="B2325" s="1" t="s">
        <v>112</v>
      </c>
      <c r="C2325" s="1" t="s">
        <v>1389</v>
      </c>
      <c r="D2325" s="1">
        <v>1.0</v>
      </c>
      <c r="E2325" s="1" t="s">
        <v>789</v>
      </c>
      <c r="F2325" s="1">
        <v>340.0</v>
      </c>
    </row>
    <row r="2326">
      <c r="A2326" s="1">
        <v>2325.0</v>
      </c>
      <c r="B2326" s="1" t="s">
        <v>835</v>
      </c>
      <c r="C2326" s="1" t="s">
        <v>1389</v>
      </c>
      <c r="D2326" s="1">
        <v>1.0</v>
      </c>
      <c r="E2326" s="1" t="s">
        <v>789</v>
      </c>
      <c r="F2326" s="1">
        <v>20362.0</v>
      </c>
    </row>
    <row r="2327">
      <c r="A2327" s="1">
        <v>2326.0</v>
      </c>
      <c r="B2327" s="1" t="s">
        <v>662</v>
      </c>
      <c r="C2327" s="1" t="s">
        <v>1389</v>
      </c>
      <c r="D2327" s="1">
        <v>1.0</v>
      </c>
      <c r="E2327" s="1" t="s">
        <v>789</v>
      </c>
      <c r="F2327" s="1">
        <v>41439.0</v>
      </c>
    </row>
    <row r="2328">
      <c r="A2328" s="1">
        <v>2327.0</v>
      </c>
      <c r="B2328" s="1" t="s">
        <v>448</v>
      </c>
      <c r="C2328" s="1" t="s">
        <v>1389</v>
      </c>
      <c r="D2328" s="1">
        <v>1.0</v>
      </c>
      <c r="E2328" s="1" t="s">
        <v>789</v>
      </c>
      <c r="F2328" s="1">
        <v>507118.0</v>
      </c>
    </row>
    <row r="2329">
      <c r="A2329" s="1">
        <v>2328.0</v>
      </c>
      <c r="B2329" s="1" t="s">
        <v>9</v>
      </c>
      <c r="C2329" s="1" t="s">
        <v>1389</v>
      </c>
      <c r="D2329" s="1">
        <v>1.0</v>
      </c>
      <c r="E2329" s="1" t="s">
        <v>789</v>
      </c>
      <c r="F2329" s="1">
        <v>353144.0</v>
      </c>
    </row>
    <row r="2330">
      <c r="A2330" s="1">
        <v>2329.0</v>
      </c>
      <c r="B2330" s="1" t="s">
        <v>256</v>
      </c>
      <c r="C2330" s="1" t="s">
        <v>1389</v>
      </c>
      <c r="D2330" s="1">
        <v>1.0</v>
      </c>
      <c r="E2330" s="1" t="s">
        <v>789</v>
      </c>
      <c r="F2330" s="1">
        <v>1513462.0</v>
      </c>
    </row>
    <row r="2331">
      <c r="A2331" s="1">
        <v>2330.0</v>
      </c>
      <c r="B2331" s="1" t="s">
        <v>1526</v>
      </c>
      <c r="C2331" s="1" t="s">
        <v>1389</v>
      </c>
      <c r="D2331" s="1">
        <v>1.0</v>
      </c>
      <c r="E2331" s="1" t="s">
        <v>789</v>
      </c>
      <c r="F2331" s="1">
        <v>47000.0</v>
      </c>
    </row>
    <row r="2332">
      <c r="A2332" s="1">
        <v>2331.0</v>
      </c>
      <c r="B2332" s="1" t="s">
        <v>58</v>
      </c>
      <c r="C2332" s="1" t="s">
        <v>1389</v>
      </c>
      <c r="D2332" s="1">
        <v>1.0</v>
      </c>
      <c r="E2332" s="1" t="s">
        <v>789</v>
      </c>
      <c r="F2332" s="1">
        <v>553.0</v>
      </c>
    </row>
    <row r="2333">
      <c r="A2333" s="1">
        <v>2332.0</v>
      </c>
      <c r="B2333" s="1" t="s">
        <v>1527</v>
      </c>
      <c r="C2333" s="1" t="s">
        <v>1389</v>
      </c>
      <c r="D2333" s="1">
        <v>1.0</v>
      </c>
      <c r="E2333" s="1" t="s">
        <v>789</v>
      </c>
      <c r="F2333" s="1">
        <v>37083.0</v>
      </c>
    </row>
    <row r="2334">
      <c r="A2334" s="1">
        <v>2333.0</v>
      </c>
      <c r="B2334" s="1" t="s">
        <v>581</v>
      </c>
      <c r="C2334" s="1" t="s">
        <v>1389</v>
      </c>
      <c r="D2334" s="1">
        <v>1.0</v>
      </c>
      <c r="E2334" s="1" t="s">
        <v>789</v>
      </c>
      <c r="F2334" s="1">
        <v>2239808.0</v>
      </c>
    </row>
    <row r="2335">
      <c r="A2335" s="1">
        <v>2334.0</v>
      </c>
      <c r="B2335" s="1" t="s">
        <v>1528</v>
      </c>
      <c r="C2335" s="1" t="s">
        <v>1389</v>
      </c>
      <c r="D2335" s="1">
        <v>1.0</v>
      </c>
      <c r="E2335" s="1" t="s">
        <v>789</v>
      </c>
      <c r="F2335" s="1">
        <v>29.0</v>
      </c>
    </row>
    <row r="2336">
      <c r="A2336" s="1">
        <v>2335.0</v>
      </c>
      <c r="B2336" s="1" t="s">
        <v>206</v>
      </c>
      <c r="C2336" s="1" t="s">
        <v>1389</v>
      </c>
      <c r="D2336" s="1">
        <v>1.0</v>
      </c>
      <c r="E2336" s="1" t="s">
        <v>789</v>
      </c>
      <c r="F2336" s="1">
        <v>1472350.0</v>
      </c>
    </row>
    <row r="2337">
      <c r="A2337" s="1">
        <v>2336.0</v>
      </c>
      <c r="B2337" s="1" t="s">
        <v>1529</v>
      </c>
      <c r="C2337" s="1" t="s">
        <v>1389</v>
      </c>
      <c r="D2337" s="1">
        <v>1.0</v>
      </c>
      <c r="E2337" s="1" t="s">
        <v>789</v>
      </c>
      <c r="F2337" s="1">
        <v>1191367.0</v>
      </c>
    </row>
    <row r="2338">
      <c r="A2338" s="1">
        <v>2337.0</v>
      </c>
      <c r="B2338" s="1" t="s">
        <v>1530</v>
      </c>
      <c r="C2338" s="1" t="s">
        <v>1389</v>
      </c>
      <c r="D2338" s="1">
        <v>1.0</v>
      </c>
      <c r="E2338" s="1" t="s">
        <v>789</v>
      </c>
      <c r="F2338" s="1">
        <v>361758.0</v>
      </c>
    </row>
    <row r="2339">
      <c r="A2339" s="1">
        <v>2338.0</v>
      </c>
      <c r="B2339" s="1" t="s">
        <v>1531</v>
      </c>
      <c r="C2339" s="1" t="s">
        <v>1389</v>
      </c>
      <c r="D2339" s="1">
        <v>1.0</v>
      </c>
      <c r="E2339" s="1" t="s">
        <v>789</v>
      </c>
      <c r="F2339" s="1">
        <v>564313.0</v>
      </c>
    </row>
    <row r="2340">
      <c r="A2340" s="1">
        <v>2339.0</v>
      </c>
      <c r="B2340" s="1" t="s">
        <v>1532</v>
      </c>
      <c r="C2340" s="1" t="s">
        <v>1389</v>
      </c>
      <c r="D2340" s="1">
        <v>1.0</v>
      </c>
      <c r="E2340" s="1" t="s">
        <v>789</v>
      </c>
      <c r="F2340" s="1">
        <v>1562895.0</v>
      </c>
    </row>
    <row r="2341">
      <c r="A2341" s="1">
        <v>2340.0</v>
      </c>
      <c r="B2341" s="1" t="s">
        <v>9</v>
      </c>
      <c r="C2341" s="1" t="s">
        <v>1389</v>
      </c>
      <c r="D2341" s="1">
        <v>22.0</v>
      </c>
      <c r="E2341" s="1" t="s">
        <v>873</v>
      </c>
      <c r="F2341" s="1">
        <v>649541.0</v>
      </c>
    </row>
    <row r="2342">
      <c r="A2342" s="1">
        <v>2341.0</v>
      </c>
      <c r="B2342" s="1" t="s">
        <v>8</v>
      </c>
      <c r="C2342" s="1" t="s">
        <v>1389</v>
      </c>
      <c r="D2342" s="1">
        <v>10.0</v>
      </c>
      <c r="E2342" s="1" t="s">
        <v>873</v>
      </c>
      <c r="F2342" s="1">
        <v>601475.0</v>
      </c>
    </row>
    <row r="2343">
      <c r="A2343" s="1">
        <v>2342.0</v>
      </c>
      <c r="B2343" s="1" t="s">
        <v>875</v>
      </c>
      <c r="C2343" s="1" t="s">
        <v>1389</v>
      </c>
      <c r="D2343" s="1">
        <v>8.0</v>
      </c>
      <c r="E2343" s="1" t="s">
        <v>873</v>
      </c>
      <c r="F2343" s="1">
        <v>1320578.0</v>
      </c>
    </row>
    <row r="2344">
      <c r="A2344" s="1">
        <v>2343.0</v>
      </c>
      <c r="B2344" s="1" t="s">
        <v>469</v>
      </c>
      <c r="C2344" s="1" t="s">
        <v>1389</v>
      </c>
      <c r="D2344" s="1">
        <v>7.0</v>
      </c>
      <c r="E2344" s="1" t="s">
        <v>873</v>
      </c>
      <c r="F2344" s="1">
        <v>115.0</v>
      </c>
    </row>
    <row r="2345">
      <c r="A2345" s="1">
        <v>2344.0</v>
      </c>
      <c r="B2345" s="1" t="s">
        <v>210</v>
      </c>
      <c r="C2345" s="1" t="s">
        <v>1389</v>
      </c>
      <c r="D2345" s="1">
        <v>7.0</v>
      </c>
      <c r="E2345" s="1" t="s">
        <v>873</v>
      </c>
      <c r="F2345" s="1">
        <v>1196790.0</v>
      </c>
    </row>
    <row r="2346">
      <c r="A2346" s="1">
        <v>2345.0</v>
      </c>
      <c r="B2346" s="1" t="s">
        <v>380</v>
      </c>
      <c r="C2346" s="1" t="s">
        <v>1389</v>
      </c>
      <c r="D2346" s="1">
        <v>5.0</v>
      </c>
      <c r="E2346" s="1" t="s">
        <v>873</v>
      </c>
      <c r="F2346" s="1">
        <v>381786.0</v>
      </c>
    </row>
    <row r="2347">
      <c r="A2347" s="1">
        <v>2346.0</v>
      </c>
      <c r="B2347" s="1" t="s">
        <v>1260</v>
      </c>
      <c r="C2347" s="1" t="s">
        <v>1389</v>
      </c>
      <c r="D2347" s="1">
        <v>5.0</v>
      </c>
      <c r="E2347" s="1" t="s">
        <v>873</v>
      </c>
      <c r="F2347" s="1">
        <v>625768.0</v>
      </c>
    </row>
    <row r="2348">
      <c r="A2348" s="1">
        <v>2347.0</v>
      </c>
      <c r="B2348" s="1" t="s">
        <v>891</v>
      </c>
      <c r="C2348" s="1" t="s">
        <v>1389</v>
      </c>
      <c r="D2348" s="1">
        <v>4.0</v>
      </c>
      <c r="E2348" s="1" t="s">
        <v>873</v>
      </c>
      <c r="F2348" s="1">
        <v>430538.0</v>
      </c>
    </row>
    <row r="2349">
      <c r="A2349" s="1">
        <v>2348.0</v>
      </c>
      <c r="B2349" s="1" t="s">
        <v>1533</v>
      </c>
      <c r="C2349" s="1" t="s">
        <v>1389</v>
      </c>
      <c r="D2349" s="1">
        <v>4.0</v>
      </c>
      <c r="E2349" s="1" t="s">
        <v>873</v>
      </c>
      <c r="F2349" s="1">
        <v>1555930.0</v>
      </c>
    </row>
    <row r="2350">
      <c r="A2350" s="1">
        <v>2349.0</v>
      </c>
      <c r="B2350" s="1" t="s">
        <v>1534</v>
      </c>
      <c r="C2350" s="1" t="s">
        <v>1389</v>
      </c>
      <c r="D2350" s="1">
        <v>4.0</v>
      </c>
      <c r="E2350" s="1" t="s">
        <v>873</v>
      </c>
      <c r="F2350" s="1">
        <v>41765.0</v>
      </c>
    </row>
    <row r="2351">
      <c r="A2351" s="1">
        <v>2350.0</v>
      </c>
      <c r="B2351" s="1" t="s">
        <v>20</v>
      </c>
      <c r="C2351" s="1" t="s">
        <v>1389</v>
      </c>
      <c r="D2351" s="1">
        <v>4.0</v>
      </c>
      <c r="E2351" s="1" t="s">
        <v>873</v>
      </c>
      <c r="F2351" s="1">
        <v>1165059.0</v>
      </c>
    </row>
    <row r="2352">
      <c r="A2352" s="1">
        <v>2351.0</v>
      </c>
      <c r="B2352" s="1" t="s">
        <v>1271</v>
      </c>
      <c r="C2352" s="1" t="s">
        <v>1389</v>
      </c>
      <c r="D2352" s="1">
        <v>4.0</v>
      </c>
      <c r="E2352" s="1" t="s">
        <v>873</v>
      </c>
      <c r="F2352" s="1">
        <v>3141490.0</v>
      </c>
    </row>
    <row r="2353">
      <c r="A2353" s="1">
        <v>2352.0</v>
      </c>
      <c r="B2353" s="1" t="s">
        <v>1248</v>
      </c>
      <c r="C2353" s="1" t="s">
        <v>1389</v>
      </c>
      <c r="D2353" s="1">
        <v>4.0</v>
      </c>
      <c r="E2353" s="1" t="s">
        <v>873</v>
      </c>
      <c r="F2353" s="1">
        <v>67826.0</v>
      </c>
    </row>
    <row r="2354">
      <c r="A2354" s="1">
        <v>2353.0</v>
      </c>
      <c r="B2354" s="1" t="s">
        <v>1535</v>
      </c>
      <c r="C2354" s="1" t="s">
        <v>1389</v>
      </c>
      <c r="D2354" s="1">
        <v>3.0</v>
      </c>
      <c r="E2354" s="1" t="s">
        <v>873</v>
      </c>
      <c r="F2354" s="1">
        <v>70.0</v>
      </c>
    </row>
    <row r="2355">
      <c r="A2355" s="1">
        <v>2354.0</v>
      </c>
      <c r="B2355" s="1" t="s">
        <v>900</v>
      </c>
      <c r="C2355" s="1" t="s">
        <v>1389</v>
      </c>
      <c r="D2355" s="1">
        <v>3.0</v>
      </c>
      <c r="E2355" s="1" t="s">
        <v>873</v>
      </c>
      <c r="F2355" s="1">
        <v>1204567.0</v>
      </c>
    </row>
    <row r="2356">
      <c r="A2356" s="1">
        <v>2355.0</v>
      </c>
      <c r="B2356" s="1" t="s">
        <v>879</v>
      </c>
      <c r="C2356" s="1" t="s">
        <v>1389</v>
      </c>
      <c r="D2356" s="1">
        <v>3.0</v>
      </c>
      <c r="E2356" s="1" t="s">
        <v>873</v>
      </c>
      <c r="F2356" s="1">
        <v>47.0</v>
      </c>
    </row>
    <row r="2357">
      <c r="A2357" s="1">
        <v>2356.0</v>
      </c>
      <c r="B2357" s="1" t="s">
        <v>1536</v>
      </c>
      <c r="C2357" s="1" t="s">
        <v>1389</v>
      </c>
      <c r="D2357" s="1">
        <v>3.0</v>
      </c>
      <c r="E2357" s="1" t="s">
        <v>873</v>
      </c>
      <c r="F2357" s="1">
        <v>837753.0</v>
      </c>
    </row>
    <row r="2358">
      <c r="A2358" s="1">
        <v>2357.0</v>
      </c>
      <c r="B2358" s="1" t="s">
        <v>892</v>
      </c>
      <c r="C2358" s="1" t="s">
        <v>1389</v>
      </c>
      <c r="D2358" s="1">
        <v>3.0</v>
      </c>
      <c r="E2358" s="1" t="s">
        <v>873</v>
      </c>
      <c r="F2358" s="1">
        <v>690356.0</v>
      </c>
    </row>
    <row r="2359">
      <c r="A2359" s="1">
        <v>2358.0</v>
      </c>
      <c r="B2359" s="1" t="s">
        <v>902</v>
      </c>
      <c r="C2359" s="1" t="s">
        <v>1389</v>
      </c>
      <c r="D2359" s="1">
        <v>3.0</v>
      </c>
      <c r="E2359" s="1" t="s">
        <v>873</v>
      </c>
      <c r="F2359" s="1">
        <v>1648788.0</v>
      </c>
    </row>
    <row r="2360">
      <c r="A2360" s="1">
        <v>2359.0</v>
      </c>
      <c r="B2360" s="1" t="s">
        <v>794</v>
      </c>
      <c r="C2360" s="1" t="s">
        <v>1389</v>
      </c>
      <c r="D2360" s="1">
        <v>3.0</v>
      </c>
      <c r="E2360" s="1" t="s">
        <v>873</v>
      </c>
      <c r="F2360" s="1">
        <v>108.0</v>
      </c>
    </row>
    <row r="2361">
      <c r="A2361" s="1">
        <v>2360.0</v>
      </c>
      <c r="B2361" s="1" t="s">
        <v>876</v>
      </c>
      <c r="C2361" s="1" t="s">
        <v>1389</v>
      </c>
      <c r="D2361" s="1">
        <v>2.0</v>
      </c>
      <c r="E2361" s="1" t="s">
        <v>873</v>
      </c>
      <c r="F2361" s="1">
        <v>526709.0</v>
      </c>
    </row>
    <row r="2362">
      <c r="A2362" s="1">
        <v>2361.0</v>
      </c>
      <c r="B2362" s="1" t="s">
        <v>74</v>
      </c>
      <c r="C2362" s="1" t="s">
        <v>1389</v>
      </c>
      <c r="D2362" s="1">
        <v>2.0</v>
      </c>
      <c r="E2362" s="1" t="s">
        <v>873</v>
      </c>
      <c r="F2362" s="1">
        <v>947195.0</v>
      </c>
    </row>
    <row r="2363">
      <c r="A2363" s="1">
        <v>2362.0</v>
      </c>
      <c r="B2363" s="1" t="s">
        <v>69</v>
      </c>
      <c r="C2363" s="1" t="s">
        <v>1389</v>
      </c>
      <c r="D2363" s="1">
        <v>2.0</v>
      </c>
      <c r="E2363" s="1" t="s">
        <v>873</v>
      </c>
      <c r="F2363" s="1">
        <v>883697.0</v>
      </c>
    </row>
    <row r="2364">
      <c r="A2364" s="1">
        <v>2363.0</v>
      </c>
      <c r="B2364" s="1" t="s">
        <v>1537</v>
      </c>
      <c r="C2364" s="1" t="s">
        <v>1389</v>
      </c>
      <c r="D2364" s="1">
        <v>2.0</v>
      </c>
      <c r="E2364" s="1" t="s">
        <v>873</v>
      </c>
      <c r="F2364" s="1">
        <v>585269.0</v>
      </c>
    </row>
    <row r="2365">
      <c r="A2365" s="1">
        <v>2364.0</v>
      </c>
      <c r="B2365" s="1" t="s">
        <v>627</v>
      </c>
      <c r="C2365" s="1" t="s">
        <v>1389</v>
      </c>
      <c r="D2365" s="1">
        <v>2.0</v>
      </c>
      <c r="E2365" s="1" t="s">
        <v>873</v>
      </c>
      <c r="F2365" s="1">
        <v>692532.0</v>
      </c>
    </row>
    <row r="2366">
      <c r="A2366" s="1">
        <v>2365.0</v>
      </c>
      <c r="B2366" s="1" t="s">
        <v>1538</v>
      </c>
      <c r="C2366" s="1" t="s">
        <v>1389</v>
      </c>
      <c r="D2366" s="1">
        <v>2.0</v>
      </c>
      <c r="E2366" s="1" t="s">
        <v>873</v>
      </c>
      <c r="F2366" s="1">
        <v>916326.0</v>
      </c>
    </row>
    <row r="2367">
      <c r="A2367" s="1">
        <v>2366.0</v>
      </c>
      <c r="B2367" s="1" t="s">
        <v>1539</v>
      </c>
      <c r="C2367" s="1" t="s">
        <v>1389</v>
      </c>
      <c r="D2367" s="1">
        <v>2.0</v>
      </c>
      <c r="E2367" s="1" t="s">
        <v>873</v>
      </c>
      <c r="F2367" s="1">
        <v>1331269.0</v>
      </c>
    </row>
    <row r="2368">
      <c r="A2368" s="1">
        <v>2367.0</v>
      </c>
      <c r="B2368" s="1" t="s">
        <v>391</v>
      </c>
      <c r="C2368" s="1" t="s">
        <v>1389</v>
      </c>
      <c r="D2368" s="1">
        <v>2.0</v>
      </c>
      <c r="E2368" s="1" t="s">
        <v>873</v>
      </c>
      <c r="F2368" s="1">
        <v>699469.0</v>
      </c>
    </row>
    <row r="2369">
      <c r="A2369" s="1">
        <v>2368.0</v>
      </c>
      <c r="B2369" s="1" t="s">
        <v>666</v>
      </c>
      <c r="C2369" s="1" t="s">
        <v>1389</v>
      </c>
      <c r="D2369" s="1">
        <v>2.0</v>
      </c>
      <c r="E2369" s="1" t="s">
        <v>873</v>
      </c>
      <c r="F2369" s="1">
        <v>3162981.0</v>
      </c>
    </row>
    <row r="2370">
      <c r="A2370" s="1">
        <v>2369.0</v>
      </c>
      <c r="B2370" s="1" t="s">
        <v>182</v>
      </c>
      <c r="C2370" s="1" t="s">
        <v>1389</v>
      </c>
      <c r="D2370" s="1">
        <v>2.0</v>
      </c>
      <c r="E2370" s="1" t="s">
        <v>873</v>
      </c>
      <c r="F2370" s="1">
        <v>986536.0</v>
      </c>
    </row>
    <row r="2371">
      <c r="A2371" s="1">
        <v>2370.0</v>
      </c>
      <c r="B2371" s="1" t="s">
        <v>888</v>
      </c>
      <c r="C2371" s="1" t="s">
        <v>1389</v>
      </c>
      <c r="D2371" s="1">
        <v>2.0</v>
      </c>
      <c r="E2371" s="1" t="s">
        <v>873</v>
      </c>
      <c r="F2371" s="1">
        <v>71335.0</v>
      </c>
    </row>
    <row r="2372">
      <c r="A2372" s="1">
        <v>2371.0</v>
      </c>
      <c r="B2372" s="1" t="s">
        <v>1266</v>
      </c>
      <c r="C2372" s="1" t="s">
        <v>1389</v>
      </c>
      <c r="D2372" s="1">
        <v>2.0</v>
      </c>
      <c r="E2372" s="1" t="s">
        <v>873</v>
      </c>
      <c r="F2372" s="1">
        <v>22565.0</v>
      </c>
    </row>
    <row r="2373">
      <c r="A2373" s="1">
        <v>2372.0</v>
      </c>
      <c r="B2373" s="1" t="s">
        <v>45</v>
      </c>
      <c r="C2373" s="1" t="s">
        <v>1389</v>
      </c>
      <c r="D2373" s="1">
        <v>2.0</v>
      </c>
      <c r="E2373" s="1" t="s">
        <v>873</v>
      </c>
      <c r="F2373" s="1">
        <v>62.0</v>
      </c>
    </row>
    <row r="2374">
      <c r="A2374" s="1">
        <v>2373.0</v>
      </c>
      <c r="B2374" s="1" t="s">
        <v>898</v>
      </c>
      <c r="C2374" s="1" t="s">
        <v>1389</v>
      </c>
      <c r="D2374" s="1">
        <v>2.0</v>
      </c>
      <c r="E2374" s="1" t="s">
        <v>873</v>
      </c>
      <c r="F2374" s="1">
        <v>917271.0</v>
      </c>
    </row>
    <row r="2375">
      <c r="A2375" s="1">
        <v>2374.0</v>
      </c>
      <c r="B2375" s="1" t="s">
        <v>940</v>
      </c>
      <c r="C2375" s="1" t="s">
        <v>1389</v>
      </c>
      <c r="D2375" s="1">
        <v>2.0</v>
      </c>
      <c r="E2375" s="1" t="s">
        <v>873</v>
      </c>
      <c r="F2375" s="1">
        <v>838524.0</v>
      </c>
    </row>
    <row r="2376">
      <c r="A2376" s="1">
        <v>2375.0</v>
      </c>
      <c r="B2376" s="1" t="s">
        <v>920</v>
      </c>
      <c r="C2376" s="1" t="s">
        <v>1389</v>
      </c>
      <c r="D2376" s="1">
        <v>2.0</v>
      </c>
      <c r="E2376" s="1" t="s">
        <v>873</v>
      </c>
      <c r="F2376" s="1">
        <v>1364409.0</v>
      </c>
    </row>
    <row r="2377">
      <c r="A2377" s="1">
        <v>2376.0</v>
      </c>
      <c r="B2377" s="1" t="s">
        <v>530</v>
      </c>
      <c r="C2377" s="1" t="s">
        <v>1389</v>
      </c>
      <c r="D2377" s="1">
        <v>2.0</v>
      </c>
      <c r="E2377" s="1" t="s">
        <v>873</v>
      </c>
      <c r="F2377" s="1">
        <v>1271011.0</v>
      </c>
    </row>
    <row r="2378">
      <c r="A2378" s="1">
        <v>2377.0</v>
      </c>
      <c r="B2378" s="1" t="s">
        <v>1227</v>
      </c>
      <c r="C2378" s="1" t="s">
        <v>1389</v>
      </c>
      <c r="D2378" s="1">
        <v>2.0</v>
      </c>
      <c r="E2378" s="1" t="s">
        <v>873</v>
      </c>
      <c r="F2378" s="1">
        <v>39167.0</v>
      </c>
    </row>
    <row r="2379">
      <c r="A2379" s="1">
        <v>2378.0</v>
      </c>
      <c r="B2379" s="1" t="s">
        <v>1237</v>
      </c>
      <c r="C2379" s="1" t="s">
        <v>1389</v>
      </c>
      <c r="D2379" s="1">
        <v>2.0</v>
      </c>
      <c r="E2379" s="1" t="s">
        <v>873</v>
      </c>
      <c r="F2379" s="1">
        <v>641374.0</v>
      </c>
    </row>
    <row r="2380">
      <c r="A2380" s="1">
        <v>2379.0</v>
      </c>
      <c r="B2380" s="1" t="s">
        <v>1540</v>
      </c>
      <c r="C2380" s="1" t="s">
        <v>1389</v>
      </c>
      <c r="D2380" s="1">
        <v>2.0</v>
      </c>
      <c r="E2380" s="1" t="s">
        <v>873</v>
      </c>
      <c r="F2380" s="1">
        <v>759321.0</v>
      </c>
    </row>
    <row r="2381">
      <c r="A2381" s="1">
        <v>2380.0</v>
      </c>
      <c r="B2381" s="1" t="s">
        <v>1259</v>
      </c>
      <c r="C2381" s="1" t="s">
        <v>1389</v>
      </c>
      <c r="D2381" s="1">
        <v>2.0</v>
      </c>
      <c r="E2381" s="1" t="s">
        <v>873</v>
      </c>
      <c r="F2381" s="1">
        <v>1589903.0</v>
      </c>
    </row>
    <row r="2382">
      <c r="A2382" s="1">
        <v>2381.0</v>
      </c>
      <c r="B2382" s="1" t="s">
        <v>1541</v>
      </c>
      <c r="C2382" s="1" t="s">
        <v>1389</v>
      </c>
      <c r="D2382" s="1">
        <v>2.0</v>
      </c>
      <c r="E2382" s="1" t="s">
        <v>873</v>
      </c>
      <c r="F2382" s="1">
        <v>1377267.0</v>
      </c>
    </row>
    <row r="2383">
      <c r="A2383" s="1">
        <v>2382.0</v>
      </c>
      <c r="B2383" s="1" t="s">
        <v>59</v>
      </c>
      <c r="C2383" s="1" t="s">
        <v>1389</v>
      </c>
      <c r="D2383" s="1">
        <v>2.0</v>
      </c>
      <c r="E2383" s="1" t="s">
        <v>873</v>
      </c>
      <c r="F2383" s="1">
        <v>358214.0</v>
      </c>
    </row>
    <row r="2384">
      <c r="A2384" s="1">
        <v>2383.0</v>
      </c>
      <c r="B2384" s="1" t="s">
        <v>11</v>
      </c>
      <c r="C2384" s="1" t="s">
        <v>1389</v>
      </c>
      <c r="D2384" s="1">
        <v>2.0</v>
      </c>
      <c r="E2384" s="1" t="s">
        <v>873</v>
      </c>
      <c r="F2384" s="1">
        <v>972097.0</v>
      </c>
    </row>
    <row r="2385">
      <c r="A2385" s="1">
        <v>2384.0</v>
      </c>
      <c r="B2385" s="1" t="s">
        <v>620</v>
      </c>
      <c r="C2385" s="1" t="s">
        <v>1389</v>
      </c>
      <c r="D2385" s="1">
        <v>2.0</v>
      </c>
      <c r="E2385" s="1" t="s">
        <v>873</v>
      </c>
      <c r="F2385" s="1">
        <v>540800.0</v>
      </c>
    </row>
    <row r="2386">
      <c r="A2386" s="1">
        <v>2385.0</v>
      </c>
      <c r="B2386" s="1" t="s">
        <v>16</v>
      </c>
      <c r="C2386" s="1" t="s">
        <v>1389</v>
      </c>
      <c r="D2386" s="1">
        <v>2.0</v>
      </c>
      <c r="E2386" s="1" t="s">
        <v>873</v>
      </c>
      <c r="F2386" s="1">
        <v>909909.0</v>
      </c>
    </row>
    <row r="2387">
      <c r="A2387" s="1">
        <v>2386.0</v>
      </c>
      <c r="B2387" s="1" t="s">
        <v>581</v>
      </c>
      <c r="C2387" s="1" t="s">
        <v>1389</v>
      </c>
      <c r="D2387" s="1">
        <v>2.0</v>
      </c>
      <c r="E2387" s="1" t="s">
        <v>873</v>
      </c>
      <c r="F2387" s="1">
        <v>736515.0</v>
      </c>
    </row>
    <row r="2388">
      <c r="A2388" s="1">
        <v>2387.0</v>
      </c>
      <c r="B2388" s="1" t="s">
        <v>529</v>
      </c>
      <c r="C2388" s="1" t="s">
        <v>1389</v>
      </c>
      <c r="D2388" s="1">
        <v>1.0</v>
      </c>
      <c r="E2388" s="1" t="s">
        <v>873</v>
      </c>
      <c r="F2388" s="1">
        <v>100488.0</v>
      </c>
    </row>
    <row r="2389">
      <c r="A2389" s="1">
        <v>2388.0</v>
      </c>
      <c r="B2389" s="1" t="s">
        <v>1542</v>
      </c>
      <c r="C2389" s="1" t="s">
        <v>1389</v>
      </c>
      <c r="D2389" s="1">
        <v>1.0</v>
      </c>
      <c r="E2389" s="1" t="s">
        <v>873</v>
      </c>
      <c r="F2389" s="1">
        <v>518827.0</v>
      </c>
    </row>
    <row r="2390">
      <c r="A2390" s="1">
        <v>2389.0</v>
      </c>
      <c r="B2390" s="1" t="s">
        <v>1543</v>
      </c>
      <c r="C2390" s="1" t="s">
        <v>1389</v>
      </c>
      <c r="D2390" s="1">
        <v>1.0</v>
      </c>
      <c r="E2390" s="1" t="s">
        <v>873</v>
      </c>
      <c r="F2390" s="1">
        <v>38649.0</v>
      </c>
    </row>
    <row r="2391">
      <c r="A2391" s="1">
        <v>2390.0</v>
      </c>
      <c r="B2391" s="1" t="s">
        <v>1049</v>
      </c>
      <c r="C2391" s="1" t="s">
        <v>1389</v>
      </c>
      <c r="D2391" s="1">
        <v>1.0</v>
      </c>
      <c r="E2391" s="1" t="s">
        <v>873</v>
      </c>
      <c r="F2391" s="1">
        <v>1.0</v>
      </c>
    </row>
    <row r="2392">
      <c r="A2392" s="1">
        <v>2391.0</v>
      </c>
      <c r="B2392" s="1" t="s">
        <v>1544</v>
      </c>
      <c r="C2392" s="1" t="s">
        <v>1389</v>
      </c>
      <c r="D2392" s="1">
        <v>1.0</v>
      </c>
      <c r="E2392" s="1" t="s">
        <v>873</v>
      </c>
      <c r="F2392" s="1">
        <v>37500.0</v>
      </c>
    </row>
    <row r="2393">
      <c r="A2393" s="1">
        <v>2392.0</v>
      </c>
      <c r="B2393" s="1" t="s">
        <v>879</v>
      </c>
      <c r="C2393" s="1" t="s">
        <v>1389</v>
      </c>
      <c r="D2393" s="1">
        <v>1.0</v>
      </c>
      <c r="E2393" s="1" t="s">
        <v>873</v>
      </c>
      <c r="F2393" s="1">
        <v>43.0</v>
      </c>
    </row>
    <row r="2394">
      <c r="A2394" s="1">
        <v>2393.0</v>
      </c>
      <c r="B2394" s="1" t="s">
        <v>1265</v>
      </c>
      <c r="C2394" s="1" t="s">
        <v>1389</v>
      </c>
      <c r="D2394" s="1">
        <v>1.0</v>
      </c>
      <c r="E2394" s="1" t="s">
        <v>873</v>
      </c>
      <c r="F2394" s="1">
        <v>1412565.0</v>
      </c>
    </row>
    <row r="2395">
      <c r="A2395" s="1">
        <v>2394.0</v>
      </c>
      <c r="B2395" s="1" t="s">
        <v>1545</v>
      </c>
      <c r="C2395" s="1" t="s">
        <v>1389</v>
      </c>
      <c r="D2395" s="1">
        <v>1.0</v>
      </c>
      <c r="E2395" s="1" t="s">
        <v>873</v>
      </c>
      <c r="F2395" s="1">
        <v>45023.0</v>
      </c>
    </row>
    <row r="2396">
      <c r="A2396" s="1">
        <v>2395.0</v>
      </c>
      <c r="B2396" s="1" t="s">
        <v>1253</v>
      </c>
      <c r="C2396" s="1" t="s">
        <v>1389</v>
      </c>
      <c r="D2396" s="1">
        <v>1.0</v>
      </c>
      <c r="E2396" s="1" t="s">
        <v>873</v>
      </c>
      <c r="F2396" s="1">
        <v>89094.0</v>
      </c>
    </row>
    <row r="2397">
      <c r="A2397" s="1">
        <v>2396.0</v>
      </c>
      <c r="B2397" s="1" t="s">
        <v>1546</v>
      </c>
      <c r="C2397" s="1" t="s">
        <v>1389</v>
      </c>
      <c r="D2397" s="1">
        <v>1.0</v>
      </c>
      <c r="E2397" s="1" t="s">
        <v>873</v>
      </c>
      <c r="F2397" s="1">
        <v>10621.0</v>
      </c>
    </row>
    <row r="2398">
      <c r="A2398" s="1">
        <v>2397.0</v>
      </c>
      <c r="B2398" s="1" t="s">
        <v>1547</v>
      </c>
      <c r="C2398" s="1" t="s">
        <v>1389</v>
      </c>
      <c r="D2398" s="1">
        <v>1.0</v>
      </c>
      <c r="E2398" s="1" t="s">
        <v>873</v>
      </c>
      <c r="F2398" s="1">
        <v>87039.0</v>
      </c>
    </row>
    <row r="2399">
      <c r="A2399" s="1">
        <v>2398.0</v>
      </c>
      <c r="B2399" s="1" t="s">
        <v>839</v>
      </c>
      <c r="C2399" s="1" t="s">
        <v>1389</v>
      </c>
      <c r="D2399" s="1">
        <v>1.0</v>
      </c>
      <c r="E2399" s="1" t="s">
        <v>873</v>
      </c>
      <c r="F2399" s="1">
        <v>230.0</v>
      </c>
    </row>
    <row r="2400">
      <c r="A2400" s="1">
        <v>2399.0</v>
      </c>
      <c r="B2400" s="1" t="s">
        <v>1233</v>
      </c>
      <c r="C2400" s="1" t="s">
        <v>1389</v>
      </c>
      <c r="D2400" s="1">
        <v>1.0</v>
      </c>
      <c r="E2400" s="1" t="s">
        <v>873</v>
      </c>
      <c r="F2400" s="1">
        <v>149932.0</v>
      </c>
    </row>
    <row r="2401">
      <c r="A2401" s="1">
        <v>2400.0</v>
      </c>
      <c r="B2401" s="1" t="s">
        <v>125</v>
      </c>
      <c r="C2401" s="1" t="s">
        <v>1389</v>
      </c>
      <c r="D2401" s="1">
        <v>1.0</v>
      </c>
      <c r="E2401" s="1" t="s">
        <v>873</v>
      </c>
      <c r="F2401" s="1">
        <v>67.0</v>
      </c>
    </row>
    <row r="2402">
      <c r="A2402" s="1">
        <v>2401.0</v>
      </c>
      <c r="B2402" s="1" t="s">
        <v>1548</v>
      </c>
      <c r="C2402" s="1" t="s">
        <v>1389</v>
      </c>
      <c r="D2402" s="1">
        <v>1.0</v>
      </c>
      <c r="E2402" s="1" t="s">
        <v>873</v>
      </c>
      <c r="F2402" s="1">
        <v>257.0</v>
      </c>
    </row>
    <row r="2403">
      <c r="A2403" s="1">
        <v>2402.0</v>
      </c>
      <c r="B2403" s="1" t="s">
        <v>1539</v>
      </c>
      <c r="C2403" s="1" t="s">
        <v>1389</v>
      </c>
      <c r="D2403" s="1">
        <v>1.0</v>
      </c>
      <c r="E2403" s="1" t="s">
        <v>873</v>
      </c>
      <c r="F2403" s="1">
        <v>17784.0</v>
      </c>
    </row>
    <row r="2404">
      <c r="A2404" s="1">
        <v>2403.0</v>
      </c>
      <c r="B2404" s="1" t="s">
        <v>1549</v>
      </c>
      <c r="C2404" s="1" t="s">
        <v>1389</v>
      </c>
      <c r="D2404" s="1">
        <v>1.0</v>
      </c>
      <c r="E2404" s="1" t="s">
        <v>873</v>
      </c>
      <c r="F2404" s="1">
        <v>103597.0</v>
      </c>
    </row>
    <row r="2405">
      <c r="A2405" s="1">
        <v>2404.0</v>
      </c>
      <c r="B2405" s="1" t="s">
        <v>882</v>
      </c>
      <c r="C2405" s="1" t="s">
        <v>1389</v>
      </c>
      <c r="D2405" s="1">
        <v>1.0</v>
      </c>
      <c r="E2405" s="1" t="s">
        <v>873</v>
      </c>
      <c r="F2405" s="1">
        <v>49053.0</v>
      </c>
    </row>
    <row r="2406">
      <c r="A2406" s="1">
        <v>2405.0</v>
      </c>
      <c r="B2406" s="1" t="s">
        <v>1550</v>
      </c>
      <c r="C2406" s="1" t="s">
        <v>1389</v>
      </c>
      <c r="D2406" s="1">
        <v>1.0</v>
      </c>
      <c r="E2406" s="1" t="s">
        <v>873</v>
      </c>
      <c r="F2406" s="1">
        <v>22.0</v>
      </c>
    </row>
    <row r="2407">
      <c r="A2407" s="1">
        <v>2406.0</v>
      </c>
      <c r="B2407" s="1" t="s">
        <v>1250</v>
      </c>
      <c r="C2407" s="1" t="s">
        <v>1389</v>
      </c>
      <c r="D2407" s="1">
        <v>1.0</v>
      </c>
      <c r="E2407" s="1" t="s">
        <v>873</v>
      </c>
      <c r="F2407" s="1">
        <v>423080.0</v>
      </c>
    </row>
    <row r="2408">
      <c r="A2408" s="1">
        <v>2407.0</v>
      </c>
      <c r="B2408" s="1" t="s">
        <v>913</v>
      </c>
      <c r="C2408" s="1" t="s">
        <v>1389</v>
      </c>
      <c r="D2408" s="1">
        <v>1.0</v>
      </c>
      <c r="E2408" s="1" t="s">
        <v>873</v>
      </c>
      <c r="F2408" s="1">
        <v>3644181.0</v>
      </c>
    </row>
    <row r="2409">
      <c r="A2409" s="1">
        <v>2408.0</v>
      </c>
      <c r="B2409" s="1" t="s">
        <v>1551</v>
      </c>
      <c r="C2409" s="1" t="s">
        <v>1389</v>
      </c>
      <c r="D2409" s="1">
        <v>1.0</v>
      </c>
      <c r="E2409" s="1" t="s">
        <v>873</v>
      </c>
      <c r="F2409" s="1">
        <v>452.0</v>
      </c>
    </row>
    <row r="2410">
      <c r="A2410" s="1">
        <v>2409.0</v>
      </c>
      <c r="B2410" s="1" t="s">
        <v>910</v>
      </c>
      <c r="C2410" s="1" t="s">
        <v>1389</v>
      </c>
      <c r="D2410" s="1">
        <v>1.0</v>
      </c>
      <c r="E2410" s="1" t="s">
        <v>873</v>
      </c>
      <c r="F2410" s="1">
        <v>665.0</v>
      </c>
    </row>
    <row r="2411">
      <c r="A2411" s="1">
        <v>2410.0</v>
      </c>
      <c r="B2411" s="1" t="s">
        <v>1280</v>
      </c>
      <c r="C2411" s="1" t="s">
        <v>1389</v>
      </c>
      <c r="D2411" s="1">
        <v>1.0</v>
      </c>
      <c r="E2411" s="1" t="s">
        <v>873</v>
      </c>
      <c r="F2411" s="1">
        <v>461956.0</v>
      </c>
    </row>
    <row r="2412">
      <c r="A2412" s="1">
        <v>2411.0</v>
      </c>
      <c r="B2412" s="1" t="s">
        <v>1552</v>
      </c>
      <c r="C2412" s="1" t="s">
        <v>1389</v>
      </c>
      <c r="D2412" s="1">
        <v>1.0</v>
      </c>
      <c r="E2412" s="1" t="s">
        <v>873</v>
      </c>
      <c r="F2412" s="1">
        <v>374830.0</v>
      </c>
    </row>
    <row r="2413">
      <c r="A2413" s="1">
        <v>2412.0</v>
      </c>
      <c r="B2413" s="1" t="s">
        <v>1553</v>
      </c>
      <c r="C2413" s="1" t="s">
        <v>1389</v>
      </c>
      <c r="D2413" s="1">
        <v>1.0</v>
      </c>
      <c r="E2413" s="1" t="s">
        <v>873</v>
      </c>
      <c r="F2413" s="1">
        <v>82037.0</v>
      </c>
    </row>
    <row r="2414">
      <c r="A2414" s="1">
        <v>2413.0</v>
      </c>
      <c r="B2414" s="1" t="s">
        <v>897</v>
      </c>
      <c r="C2414" s="1" t="s">
        <v>1389</v>
      </c>
      <c r="D2414" s="1">
        <v>1.0</v>
      </c>
      <c r="E2414" s="1" t="s">
        <v>873</v>
      </c>
      <c r="F2414" s="1">
        <v>230.0</v>
      </c>
    </row>
    <row r="2415">
      <c r="A2415" s="1">
        <v>2414.0</v>
      </c>
      <c r="B2415" s="1" t="s">
        <v>1554</v>
      </c>
      <c r="C2415" s="1" t="s">
        <v>1389</v>
      </c>
      <c r="D2415" s="1">
        <v>1.0</v>
      </c>
      <c r="E2415" s="1" t="s">
        <v>873</v>
      </c>
      <c r="F2415" s="1">
        <v>775034.0</v>
      </c>
    </row>
    <row r="2416">
      <c r="A2416" s="1">
        <v>2415.0</v>
      </c>
      <c r="B2416" s="1" t="s">
        <v>1555</v>
      </c>
      <c r="C2416" s="1" t="s">
        <v>1389</v>
      </c>
      <c r="D2416" s="1">
        <v>1.0</v>
      </c>
      <c r="E2416" s="1" t="s">
        <v>873</v>
      </c>
      <c r="F2416" s="1">
        <v>2265784.0</v>
      </c>
    </row>
    <row r="2417">
      <c r="A2417" s="1">
        <v>2416.0</v>
      </c>
      <c r="B2417" s="1" t="s">
        <v>1556</v>
      </c>
      <c r="C2417" s="1" t="s">
        <v>1389</v>
      </c>
      <c r="D2417" s="1">
        <v>1.0</v>
      </c>
      <c r="E2417" s="1" t="s">
        <v>873</v>
      </c>
      <c r="F2417" s="1">
        <v>150733.0</v>
      </c>
    </row>
    <row r="2418">
      <c r="A2418" s="1">
        <v>2417.0</v>
      </c>
      <c r="B2418" s="1" t="s">
        <v>1557</v>
      </c>
      <c r="C2418" s="1" t="s">
        <v>1389</v>
      </c>
      <c r="D2418" s="1">
        <v>1.0</v>
      </c>
      <c r="E2418" s="1" t="s">
        <v>873</v>
      </c>
      <c r="F2418" s="1">
        <v>4.0</v>
      </c>
    </row>
    <row r="2419">
      <c r="A2419" s="1">
        <v>2418.0</v>
      </c>
      <c r="B2419" s="1" t="s">
        <v>1558</v>
      </c>
      <c r="C2419" s="1" t="s">
        <v>1389</v>
      </c>
      <c r="D2419" s="1">
        <v>1.0</v>
      </c>
      <c r="E2419" s="1" t="s">
        <v>873</v>
      </c>
      <c r="F2419" s="1">
        <v>1478425.0</v>
      </c>
    </row>
    <row r="2420">
      <c r="A2420" s="1">
        <v>2419.0</v>
      </c>
      <c r="B2420" s="1" t="s">
        <v>1559</v>
      </c>
      <c r="C2420" s="1" t="s">
        <v>1389</v>
      </c>
      <c r="D2420" s="1">
        <v>1.0</v>
      </c>
      <c r="E2420" s="1" t="s">
        <v>873</v>
      </c>
      <c r="F2420" s="1">
        <v>3665141.0</v>
      </c>
    </row>
    <row r="2421">
      <c r="A2421" s="1">
        <v>2420.0</v>
      </c>
      <c r="B2421" s="1" t="s">
        <v>1560</v>
      </c>
      <c r="C2421" s="1" t="s">
        <v>1389</v>
      </c>
      <c r="D2421" s="1">
        <v>1.0</v>
      </c>
      <c r="E2421" s="1" t="s">
        <v>873</v>
      </c>
      <c r="F2421" s="1">
        <v>618387.0</v>
      </c>
    </row>
    <row r="2422">
      <c r="A2422" s="1">
        <v>2421.0</v>
      </c>
      <c r="B2422" s="1" t="s">
        <v>1561</v>
      </c>
      <c r="C2422" s="1" t="s">
        <v>1389</v>
      </c>
      <c r="D2422" s="1">
        <v>1.0</v>
      </c>
      <c r="E2422" s="1" t="s">
        <v>873</v>
      </c>
      <c r="F2422" s="1">
        <v>573621.0</v>
      </c>
    </row>
    <row r="2423">
      <c r="A2423" s="1">
        <v>2422.0</v>
      </c>
      <c r="B2423" s="1" t="s">
        <v>1562</v>
      </c>
      <c r="C2423" s="1" t="s">
        <v>1389</v>
      </c>
      <c r="D2423" s="1">
        <v>1.0</v>
      </c>
      <c r="E2423" s="1" t="s">
        <v>873</v>
      </c>
      <c r="F2423" s="1">
        <v>17.0</v>
      </c>
    </row>
    <row r="2424">
      <c r="A2424" s="1">
        <v>2423.0</v>
      </c>
      <c r="B2424" s="1" t="s">
        <v>219</v>
      </c>
      <c r="C2424" s="1" t="s">
        <v>1389</v>
      </c>
      <c r="D2424" s="1">
        <v>1.0</v>
      </c>
      <c r="E2424" s="1" t="s">
        <v>873</v>
      </c>
      <c r="F2424" s="1">
        <v>1513955.0</v>
      </c>
    </row>
    <row r="2425">
      <c r="A2425" s="1">
        <v>2424.0</v>
      </c>
      <c r="B2425" s="1" t="s">
        <v>1563</v>
      </c>
      <c r="C2425" s="1" t="s">
        <v>1389</v>
      </c>
      <c r="D2425" s="1">
        <v>1.0</v>
      </c>
      <c r="E2425" s="1" t="s">
        <v>873</v>
      </c>
      <c r="F2425" s="1">
        <v>100488.0</v>
      </c>
    </row>
    <row r="2426">
      <c r="A2426" s="1">
        <v>2425.0</v>
      </c>
      <c r="B2426" s="1" t="s">
        <v>65</v>
      </c>
      <c r="C2426" s="1" t="s">
        <v>1389</v>
      </c>
      <c r="D2426" s="1">
        <v>1.0</v>
      </c>
      <c r="E2426" s="1" t="s">
        <v>873</v>
      </c>
      <c r="F2426" s="1">
        <v>469612.0</v>
      </c>
    </row>
    <row r="2427">
      <c r="A2427" s="1">
        <v>2426.0</v>
      </c>
      <c r="B2427" s="1" t="s">
        <v>1564</v>
      </c>
      <c r="C2427" s="1" t="s">
        <v>1389</v>
      </c>
      <c r="D2427" s="1">
        <v>1.0</v>
      </c>
      <c r="E2427" s="1" t="s">
        <v>873</v>
      </c>
      <c r="F2427" s="1">
        <v>2707106.0</v>
      </c>
    </row>
    <row r="2428">
      <c r="A2428" s="1">
        <v>2427.0</v>
      </c>
      <c r="B2428" s="1" t="s">
        <v>1565</v>
      </c>
      <c r="C2428" s="1" t="s">
        <v>1389</v>
      </c>
      <c r="D2428" s="1">
        <v>1.0</v>
      </c>
      <c r="E2428" s="1" t="s">
        <v>873</v>
      </c>
      <c r="F2428" s="1">
        <v>12108.0</v>
      </c>
    </row>
    <row r="2429">
      <c r="A2429" s="1">
        <v>2428.0</v>
      </c>
      <c r="B2429" s="5" t="s">
        <v>374</v>
      </c>
      <c r="C2429" s="1" t="s">
        <v>1389</v>
      </c>
      <c r="D2429" s="1">
        <v>1.0</v>
      </c>
      <c r="E2429" s="1" t="s">
        <v>873</v>
      </c>
      <c r="F2429" s="1">
        <v>51.0</v>
      </c>
    </row>
    <row r="2430">
      <c r="A2430" s="1">
        <v>2429.0</v>
      </c>
      <c r="B2430" s="1" t="s">
        <v>1566</v>
      </c>
      <c r="C2430" s="1" t="s">
        <v>1389</v>
      </c>
      <c r="D2430" s="1">
        <v>1.0</v>
      </c>
      <c r="E2430" s="1" t="s">
        <v>873</v>
      </c>
      <c r="F2430" s="1">
        <v>541.0</v>
      </c>
    </row>
    <row r="2431">
      <c r="A2431" s="1">
        <v>2430.0</v>
      </c>
      <c r="B2431" s="1" t="s">
        <v>163</v>
      </c>
      <c r="C2431" s="1" t="s">
        <v>1389</v>
      </c>
      <c r="D2431" s="1">
        <v>1.0</v>
      </c>
      <c r="E2431" s="1" t="s">
        <v>873</v>
      </c>
      <c r="F2431" s="1">
        <v>862674.0</v>
      </c>
    </row>
    <row r="2432">
      <c r="A2432" s="1">
        <v>2431.0</v>
      </c>
      <c r="B2432" s="1" t="s">
        <v>612</v>
      </c>
      <c r="C2432" s="1" t="s">
        <v>1389</v>
      </c>
      <c r="D2432" s="1">
        <v>1.0</v>
      </c>
      <c r="E2432" s="1" t="s">
        <v>873</v>
      </c>
      <c r="F2432" s="1">
        <v>938347.0</v>
      </c>
    </row>
    <row r="2433">
      <c r="A2433" s="1">
        <v>2432.0</v>
      </c>
      <c r="B2433" s="1" t="s">
        <v>1567</v>
      </c>
      <c r="C2433" s="1" t="s">
        <v>1389</v>
      </c>
      <c r="D2433" s="1">
        <v>1.0</v>
      </c>
      <c r="E2433" s="1" t="s">
        <v>873</v>
      </c>
      <c r="F2433" s="1">
        <v>735350.0</v>
      </c>
    </row>
    <row r="2434">
      <c r="A2434" s="1">
        <v>2433.0</v>
      </c>
      <c r="B2434" s="1" t="s">
        <v>119</v>
      </c>
      <c r="C2434" s="1" t="s">
        <v>1389</v>
      </c>
      <c r="D2434" s="1">
        <v>1.0</v>
      </c>
      <c r="E2434" s="1" t="s">
        <v>873</v>
      </c>
      <c r="F2434" s="1">
        <v>500.0</v>
      </c>
    </row>
    <row r="2435">
      <c r="A2435" s="1">
        <v>2434.0</v>
      </c>
      <c r="B2435" s="1" t="s">
        <v>63</v>
      </c>
      <c r="C2435" s="1" t="s">
        <v>1389</v>
      </c>
      <c r="D2435" s="1">
        <v>1.0</v>
      </c>
      <c r="E2435" s="1" t="s">
        <v>873</v>
      </c>
      <c r="F2435" s="1">
        <v>413830.0</v>
      </c>
    </row>
    <row r="2436">
      <c r="A2436" s="1">
        <v>2435.0</v>
      </c>
      <c r="B2436" s="1" t="s">
        <v>1568</v>
      </c>
      <c r="C2436" s="1" t="s">
        <v>1389</v>
      </c>
      <c r="D2436" s="1">
        <v>1.0</v>
      </c>
      <c r="E2436" s="1" t="s">
        <v>873</v>
      </c>
      <c r="F2436" s="1">
        <v>1489702.0</v>
      </c>
    </row>
    <row r="2437">
      <c r="A2437" s="1">
        <v>2436.0</v>
      </c>
      <c r="B2437" s="1" t="s">
        <v>1302</v>
      </c>
      <c r="C2437" s="1" t="s">
        <v>1389</v>
      </c>
      <c r="D2437" s="1">
        <v>1.0</v>
      </c>
      <c r="E2437" s="1" t="s">
        <v>873</v>
      </c>
      <c r="F2437" s="1">
        <v>125569.0</v>
      </c>
    </row>
    <row r="2438">
      <c r="A2438" s="1">
        <v>2437.0</v>
      </c>
      <c r="B2438" s="1" t="s">
        <v>83</v>
      </c>
      <c r="C2438" s="1" t="s">
        <v>1389</v>
      </c>
      <c r="D2438" s="1">
        <v>1.0</v>
      </c>
      <c r="E2438" s="1" t="s">
        <v>873</v>
      </c>
      <c r="F2438" s="1">
        <v>1288344.0</v>
      </c>
    </row>
    <row r="2439">
      <c r="A2439" s="1">
        <v>2438.0</v>
      </c>
      <c r="B2439" s="1" t="s">
        <v>300</v>
      </c>
      <c r="C2439" s="1" t="s">
        <v>1389</v>
      </c>
      <c r="D2439" s="1">
        <v>1.0</v>
      </c>
      <c r="E2439" s="1" t="s">
        <v>873</v>
      </c>
      <c r="F2439" s="1">
        <v>1643809.0</v>
      </c>
    </row>
    <row r="2440">
      <c r="A2440" s="1">
        <v>2439.0</v>
      </c>
      <c r="B2440" s="1" t="s">
        <v>1569</v>
      </c>
      <c r="C2440" s="1" t="s">
        <v>1389</v>
      </c>
      <c r="D2440" s="1">
        <v>1.0</v>
      </c>
      <c r="E2440" s="1" t="s">
        <v>873</v>
      </c>
      <c r="F2440" s="1">
        <v>23248.0</v>
      </c>
    </row>
    <row r="2441">
      <c r="A2441" s="1">
        <v>2440.0</v>
      </c>
      <c r="B2441" s="1" t="s">
        <v>1570</v>
      </c>
      <c r="C2441" s="1" t="s">
        <v>1389</v>
      </c>
      <c r="D2441" s="1">
        <v>1.0</v>
      </c>
      <c r="E2441" s="1" t="s">
        <v>873</v>
      </c>
      <c r="F2441" s="1">
        <v>452.0</v>
      </c>
    </row>
    <row r="2442">
      <c r="A2442" s="1">
        <v>2441.0</v>
      </c>
      <c r="B2442" s="1" t="s">
        <v>1571</v>
      </c>
      <c r="C2442" s="1" t="s">
        <v>1389</v>
      </c>
      <c r="D2442" s="1">
        <v>1.0</v>
      </c>
      <c r="E2442" s="1" t="s">
        <v>873</v>
      </c>
      <c r="F2442" s="1">
        <v>183949.0</v>
      </c>
    </row>
    <row r="2443">
      <c r="A2443" s="1">
        <v>2442.0</v>
      </c>
      <c r="B2443" s="1" t="s">
        <v>1572</v>
      </c>
      <c r="C2443" s="1" t="s">
        <v>1389</v>
      </c>
      <c r="D2443" s="1">
        <v>1.0</v>
      </c>
      <c r="E2443" s="1" t="s">
        <v>873</v>
      </c>
      <c r="F2443" s="1">
        <v>2210744.0</v>
      </c>
    </row>
    <row r="2444">
      <c r="A2444" s="1">
        <v>2443.0</v>
      </c>
      <c r="B2444" s="1" t="s">
        <v>1573</v>
      </c>
      <c r="C2444" s="1" t="s">
        <v>1389</v>
      </c>
      <c r="D2444" s="1">
        <v>1.0</v>
      </c>
      <c r="E2444" s="1" t="s">
        <v>873</v>
      </c>
      <c r="F2444" s="1">
        <v>864369.0</v>
      </c>
    </row>
    <row r="2445">
      <c r="A2445" s="1">
        <v>2444.0</v>
      </c>
      <c r="B2445" s="1" t="s">
        <v>1574</v>
      </c>
      <c r="C2445" s="1" t="s">
        <v>1389</v>
      </c>
      <c r="D2445" s="1">
        <v>1.0</v>
      </c>
      <c r="E2445" s="1" t="s">
        <v>873</v>
      </c>
      <c r="F2445" s="1">
        <v>31105.0</v>
      </c>
    </row>
    <row r="2446">
      <c r="A2446" s="1">
        <v>2445.0</v>
      </c>
      <c r="B2446" s="1" t="s">
        <v>1575</v>
      </c>
      <c r="C2446" s="1" t="s">
        <v>1389</v>
      </c>
      <c r="D2446" s="1">
        <v>1.0</v>
      </c>
      <c r="E2446" s="1" t="s">
        <v>873</v>
      </c>
      <c r="F2446" s="1">
        <v>547.0</v>
      </c>
    </row>
    <row r="2447">
      <c r="A2447" s="1">
        <v>2446.0</v>
      </c>
      <c r="B2447" s="1" t="s">
        <v>1576</v>
      </c>
      <c r="C2447" s="1" t="s">
        <v>1389</v>
      </c>
      <c r="D2447" s="1">
        <v>1.0</v>
      </c>
      <c r="E2447" s="1" t="s">
        <v>873</v>
      </c>
      <c r="F2447" s="1">
        <v>69.0</v>
      </c>
    </row>
    <row r="2448">
      <c r="A2448" s="1">
        <v>2447.0</v>
      </c>
      <c r="B2448" s="1" t="s">
        <v>1577</v>
      </c>
      <c r="C2448" s="1" t="s">
        <v>1389</v>
      </c>
      <c r="D2448" s="1">
        <v>17.0</v>
      </c>
      <c r="E2448" s="1" t="s">
        <v>873</v>
      </c>
      <c r="F2448" s="1">
        <v>1476259.0</v>
      </c>
    </row>
    <row r="2449">
      <c r="A2449" s="1">
        <v>2448.0</v>
      </c>
      <c r="B2449" s="1" t="s">
        <v>39</v>
      </c>
      <c r="C2449" s="1" t="s">
        <v>1389</v>
      </c>
      <c r="D2449" s="1">
        <v>9.0</v>
      </c>
      <c r="E2449" s="1" t="s">
        <v>945</v>
      </c>
      <c r="F2449" s="1">
        <v>530128.0</v>
      </c>
    </row>
    <row r="2450">
      <c r="A2450" s="1">
        <v>2449.0</v>
      </c>
      <c r="B2450" s="1" t="s">
        <v>1578</v>
      </c>
      <c r="C2450" s="1" t="s">
        <v>1389</v>
      </c>
      <c r="D2450" s="1">
        <v>5.0</v>
      </c>
      <c r="E2450" s="1" t="s">
        <v>945</v>
      </c>
      <c r="F2450" s="1">
        <v>542342.0</v>
      </c>
    </row>
    <row r="2451">
      <c r="A2451" s="1">
        <v>2450.0</v>
      </c>
      <c r="B2451" s="1" t="s">
        <v>14</v>
      </c>
      <c r="C2451" s="1" t="s">
        <v>1389</v>
      </c>
      <c r="D2451" s="1">
        <v>5.0</v>
      </c>
      <c r="E2451" s="1" t="s">
        <v>945</v>
      </c>
      <c r="F2451" s="1">
        <v>695747.0</v>
      </c>
    </row>
    <row r="2452">
      <c r="A2452" s="1">
        <v>2451.0</v>
      </c>
      <c r="B2452" s="1" t="s">
        <v>29</v>
      </c>
      <c r="C2452" s="1" t="s">
        <v>1389</v>
      </c>
      <c r="D2452" s="1">
        <v>4.0</v>
      </c>
      <c r="E2452" s="1" t="s">
        <v>945</v>
      </c>
      <c r="F2452" s="1">
        <v>744034.0</v>
      </c>
    </row>
    <row r="2453">
      <c r="A2453" s="1">
        <v>2452.0</v>
      </c>
      <c r="B2453" s="1" t="s">
        <v>194</v>
      </c>
      <c r="C2453" s="1" t="s">
        <v>1389</v>
      </c>
      <c r="D2453" s="1">
        <v>2.0</v>
      </c>
      <c r="E2453" s="1" t="s">
        <v>945</v>
      </c>
      <c r="F2453" s="1">
        <v>909682.0</v>
      </c>
    </row>
    <row r="2454">
      <c r="A2454" s="1">
        <v>2453.0</v>
      </c>
      <c r="B2454" s="1" t="s">
        <v>837</v>
      </c>
      <c r="C2454" s="1" t="s">
        <v>1389</v>
      </c>
      <c r="D2454" s="1">
        <v>2.0</v>
      </c>
      <c r="E2454" s="1" t="s">
        <v>945</v>
      </c>
      <c r="F2454" s="1">
        <v>928488.0</v>
      </c>
    </row>
    <row r="2455">
      <c r="A2455" s="1">
        <v>2454.0</v>
      </c>
      <c r="B2455" s="1" t="s">
        <v>192</v>
      </c>
      <c r="C2455" s="1" t="s">
        <v>1389</v>
      </c>
      <c r="D2455" s="1">
        <v>2.0</v>
      </c>
      <c r="E2455" s="1" t="s">
        <v>945</v>
      </c>
      <c r="F2455" s="1">
        <v>459892.0</v>
      </c>
    </row>
    <row r="2456">
      <c r="A2456" s="1">
        <v>2455.0</v>
      </c>
      <c r="B2456" s="1" t="s">
        <v>125</v>
      </c>
      <c r="C2456" s="1" t="s">
        <v>1389</v>
      </c>
      <c r="D2456" s="1">
        <v>2.0</v>
      </c>
      <c r="E2456" s="1" t="s">
        <v>945</v>
      </c>
      <c r="F2456" s="1">
        <v>1077564.0</v>
      </c>
    </row>
    <row r="2457">
      <c r="A2457" s="1">
        <v>2456.0</v>
      </c>
      <c r="B2457" s="1" t="s">
        <v>1325</v>
      </c>
      <c r="C2457" s="1" t="s">
        <v>1389</v>
      </c>
      <c r="D2457" s="1">
        <v>2.0</v>
      </c>
      <c r="E2457" s="1" t="s">
        <v>945</v>
      </c>
      <c r="F2457" s="1">
        <v>1321470.0</v>
      </c>
    </row>
    <row r="2458">
      <c r="A2458" s="1">
        <v>2457.0</v>
      </c>
      <c r="B2458" s="1" t="s">
        <v>1534</v>
      </c>
      <c r="C2458" s="1" t="s">
        <v>1389</v>
      </c>
      <c r="D2458" s="1">
        <v>2.0</v>
      </c>
      <c r="E2458" s="1" t="s">
        <v>945</v>
      </c>
      <c r="F2458" s="1">
        <v>795858.0</v>
      </c>
    </row>
    <row r="2459">
      <c r="A2459" s="1">
        <v>2458.0</v>
      </c>
      <c r="B2459" s="1" t="s">
        <v>1579</v>
      </c>
      <c r="C2459" s="1" t="s">
        <v>1389</v>
      </c>
      <c r="D2459" s="1">
        <v>2.0</v>
      </c>
      <c r="E2459" s="1" t="s">
        <v>945</v>
      </c>
      <c r="F2459" s="1">
        <v>353152.0</v>
      </c>
    </row>
    <row r="2460">
      <c r="A2460" s="1">
        <v>2459.0</v>
      </c>
      <c r="B2460" s="1" t="s">
        <v>33</v>
      </c>
      <c r="C2460" s="1" t="s">
        <v>1389</v>
      </c>
      <c r="D2460" s="1">
        <v>2.0</v>
      </c>
      <c r="E2460" s="1" t="s">
        <v>945</v>
      </c>
      <c r="F2460" s="1">
        <v>30220.0</v>
      </c>
    </row>
    <row r="2461">
      <c r="A2461" s="1">
        <v>2460.0</v>
      </c>
      <c r="B2461" s="1" t="s">
        <v>946</v>
      </c>
      <c r="C2461" s="1" t="s">
        <v>1389</v>
      </c>
      <c r="D2461" s="1">
        <v>2.0</v>
      </c>
      <c r="E2461" s="1" t="s">
        <v>945</v>
      </c>
      <c r="F2461" s="1">
        <v>51096.0</v>
      </c>
    </row>
    <row r="2462">
      <c r="A2462" s="1">
        <v>2461.0</v>
      </c>
      <c r="B2462" s="5" t="s">
        <v>1580</v>
      </c>
      <c r="C2462" s="1" t="s">
        <v>1389</v>
      </c>
      <c r="D2462" s="1">
        <v>2.0</v>
      </c>
      <c r="E2462" s="1" t="s">
        <v>945</v>
      </c>
      <c r="F2462" s="1">
        <v>612517.0</v>
      </c>
    </row>
    <row r="2463">
      <c r="A2463" s="1">
        <v>2462.0</v>
      </c>
      <c r="B2463" s="1" t="s">
        <v>962</v>
      </c>
      <c r="C2463" s="1" t="s">
        <v>1389</v>
      </c>
      <c r="D2463" s="1">
        <v>1.0</v>
      </c>
      <c r="E2463" s="1" t="s">
        <v>945</v>
      </c>
      <c r="F2463" s="1">
        <v>331509.0</v>
      </c>
    </row>
    <row r="2464">
      <c r="A2464" s="1">
        <v>2463.0</v>
      </c>
      <c r="B2464" s="1" t="s">
        <v>306</v>
      </c>
      <c r="C2464" s="1" t="s">
        <v>1389</v>
      </c>
      <c r="D2464" s="1">
        <v>1.0</v>
      </c>
      <c r="E2464" s="1" t="s">
        <v>945</v>
      </c>
      <c r="F2464" s="1">
        <v>3977066.0</v>
      </c>
    </row>
    <row r="2465">
      <c r="A2465" s="1">
        <v>2464.0</v>
      </c>
      <c r="B2465" s="1" t="s">
        <v>20</v>
      </c>
      <c r="C2465" s="1" t="s">
        <v>1389</v>
      </c>
      <c r="D2465" s="1">
        <v>1.0</v>
      </c>
      <c r="E2465" s="1" t="s">
        <v>945</v>
      </c>
      <c r="F2465" s="1">
        <v>1230982.0</v>
      </c>
    </row>
    <row r="2466">
      <c r="A2466" s="1">
        <v>2465.0</v>
      </c>
      <c r="B2466" s="1" t="s">
        <v>1581</v>
      </c>
      <c r="C2466" s="1" t="s">
        <v>1389</v>
      </c>
      <c r="D2466" s="1">
        <v>1.0</v>
      </c>
      <c r="E2466" s="1" t="s">
        <v>945</v>
      </c>
      <c r="F2466" s="1">
        <v>106209.0</v>
      </c>
    </row>
    <row r="2467">
      <c r="A2467" s="1">
        <v>2466.0</v>
      </c>
      <c r="B2467" s="1" t="s">
        <v>1582</v>
      </c>
      <c r="C2467" s="1" t="s">
        <v>1389</v>
      </c>
      <c r="D2467" s="1">
        <v>1.0</v>
      </c>
      <c r="E2467" s="1" t="s">
        <v>945</v>
      </c>
      <c r="F2467" s="1">
        <v>46854.0</v>
      </c>
    </row>
    <row r="2468">
      <c r="A2468" s="1">
        <v>2467.0</v>
      </c>
      <c r="B2468" s="1" t="s">
        <v>1250</v>
      </c>
      <c r="C2468" s="1" t="s">
        <v>1389</v>
      </c>
      <c r="D2468" s="1">
        <v>1.0</v>
      </c>
      <c r="E2468" s="1" t="s">
        <v>945</v>
      </c>
      <c r="F2468" s="1">
        <v>25921.0</v>
      </c>
    </row>
    <row r="2469">
      <c r="A2469" s="1">
        <v>2468.0</v>
      </c>
      <c r="B2469" s="1" t="s">
        <v>1578</v>
      </c>
      <c r="C2469" s="1" t="s">
        <v>1389</v>
      </c>
      <c r="D2469" s="1">
        <v>1.0</v>
      </c>
      <c r="E2469" s="1" t="s">
        <v>945</v>
      </c>
      <c r="F2469" s="1">
        <v>10814.0</v>
      </c>
    </row>
    <row r="2470">
      <c r="A2470" s="1">
        <v>2469.0</v>
      </c>
      <c r="B2470" s="1" t="s">
        <v>1583</v>
      </c>
      <c r="C2470" s="1" t="s">
        <v>1389</v>
      </c>
      <c r="D2470" s="1">
        <v>1.0</v>
      </c>
      <c r="E2470" s="1" t="s">
        <v>945</v>
      </c>
      <c r="F2470" s="1">
        <v>555.0</v>
      </c>
    </row>
    <row r="2471">
      <c r="A2471" s="1">
        <v>2470.0</v>
      </c>
      <c r="B2471" s="1" t="s">
        <v>1584</v>
      </c>
      <c r="C2471" s="1" t="s">
        <v>1389</v>
      </c>
      <c r="D2471" s="1">
        <v>1.0</v>
      </c>
      <c r="E2471" s="1" t="s">
        <v>945</v>
      </c>
      <c r="F2471" s="1">
        <v>40684.0</v>
      </c>
    </row>
    <row r="2472">
      <c r="A2472" s="1">
        <v>2471.0</v>
      </c>
      <c r="B2472" s="1" t="s">
        <v>1585</v>
      </c>
      <c r="C2472" s="1" t="s">
        <v>1389</v>
      </c>
      <c r="D2472" s="1">
        <v>1.0</v>
      </c>
      <c r="E2472" s="1" t="s">
        <v>945</v>
      </c>
      <c r="F2472" s="1">
        <v>1088000.0</v>
      </c>
    </row>
    <row r="2473">
      <c r="A2473" s="1">
        <v>2472.0</v>
      </c>
      <c r="B2473" s="1" t="s">
        <v>946</v>
      </c>
      <c r="C2473" s="1" t="s">
        <v>1389</v>
      </c>
      <c r="D2473" s="1">
        <v>1.0</v>
      </c>
      <c r="E2473" s="1" t="s">
        <v>945</v>
      </c>
      <c r="F2473" s="1">
        <v>23000.0</v>
      </c>
    </row>
    <row r="2474">
      <c r="A2474" s="1">
        <v>2473.0</v>
      </c>
      <c r="B2474" s="1" t="s">
        <v>9</v>
      </c>
      <c r="C2474" s="1" t="s">
        <v>1389</v>
      </c>
      <c r="D2474" s="1">
        <v>1.0</v>
      </c>
      <c r="E2474" s="1" t="s">
        <v>945</v>
      </c>
      <c r="F2474" s="1">
        <v>70513.0</v>
      </c>
    </row>
    <row r="2475">
      <c r="A2475" s="1">
        <v>2474.0</v>
      </c>
      <c r="B2475" s="1" t="s">
        <v>1586</v>
      </c>
      <c r="C2475" s="1" t="s">
        <v>1389</v>
      </c>
      <c r="D2475" s="1">
        <v>1.0</v>
      </c>
      <c r="E2475" s="1" t="s">
        <v>945</v>
      </c>
      <c r="F2475" s="1">
        <v>123286.0</v>
      </c>
    </row>
    <row r="2476">
      <c r="A2476" s="1">
        <v>2475.0</v>
      </c>
      <c r="B2476" s="1" t="s">
        <v>130</v>
      </c>
      <c r="C2476" s="1" t="s">
        <v>1389</v>
      </c>
      <c r="D2476" s="1">
        <v>1.0</v>
      </c>
      <c r="E2476" s="1" t="s">
        <v>945</v>
      </c>
      <c r="F2476" s="1">
        <v>12899.0</v>
      </c>
    </row>
    <row r="2477">
      <c r="A2477" s="1">
        <v>2476.0</v>
      </c>
      <c r="B2477" s="1" t="s">
        <v>1587</v>
      </c>
      <c r="C2477" s="1" t="s">
        <v>1389</v>
      </c>
      <c r="D2477" s="1">
        <v>1.0</v>
      </c>
      <c r="E2477" s="1" t="s">
        <v>945</v>
      </c>
      <c r="F2477" s="1">
        <v>511.0</v>
      </c>
    </row>
    <row r="2478">
      <c r="A2478" s="1">
        <v>2477.0</v>
      </c>
      <c r="B2478" s="1" t="s">
        <v>1132</v>
      </c>
      <c r="C2478" s="1" t="s">
        <v>1389</v>
      </c>
      <c r="D2478" s="1">
        <v>1.0</v>
      </c>
      <c r="E2478" s="1" t="s">
        <v>945</v>
      </c>
      <c r="F2478" s="1">
        <v>573527.0</v>
      </c>
    </row>
    <row r="2479">
      <c r="A2479" s="1">
        <v>2478.0</v>
      </c>
      <c r="B2479" s="1" t="s">
        <v>9</v>
      </c>
      <c r="C2479" s="1" t="s">
        <v>1389</v>
      </c>
      <c r="D2479" s="1">
        <v>1.0</v>
      </c>
      <c r="E2479" s="1" t="s">
        <v>945</v>
      </c>
      <c r="F2479" s="1">
        <v>234362.0</v>
      </c>
    </row>
    <row r="2480">
      <c r="A2480" s="1">
        <v>2479.0</v>
      </c>
      <c r="B2480" s="1" t="s">
        <v>1588</v>
      </c>
      <c r="C2480" s="1" t="s">
        <v>1389</v>
      </c>
      <c r="D2480" s="1">
        <v>1.0</v>
      </c>
      <c r="E2480" s="1" t="s">
        <v>945</v>
      </c>
      <c r="F2480" s="1">
        <v>26.0</v>
      </c>
    </row>
    <row r="2481">
      <c r="A2481" s="1">
        <v>2480.0</v>
      </c>
      <c r="B2481" s="1" t="s">
        <v>1589</v>
      </c>
      <c r="C2481" s="1" t="s">
        <v>1389</v>
      </c>
      <c r="D2481" s="1">
        <v>1.0</v>
      </c>
      <c r="E2481" s="1" t="s">
        <v>945</v>
      </c>
      <c r="F2481" s="1">
        <v>1139568.0</v>
      </c>
    </row>
    <row r="2482">
      <c r="A2482" s="1">
        <v>2481.0</v>
      </c>
      <c r="B2482" s="1" t="s">
        <v>1590</v>
      </c>
      <c r="C2482" s="1" t="s">
        <v>1389</v>
      </c>
      <c r="D2482" s="1">
        <v>1.0</v>
      </c>
      <c r="E2482" s="1" t="s">
        <v>945</v>
      </c>
      <c r="F2482" s="1">
        <v>11.0</v>
      </c>
    </row>
    <row r="2483">
      <c r="A2483" s="1">
        <v>2482.0</v>
      </c>
      <c r="B2483" s="1" t="s">
        <v>944</v>
      </c>
      <c r="C2483" s="1" t="s">
        <v>1389</v>
      </c>
      <c r="D2483" s="1">
        <v>1.0</v>
      </c>
      <c r="E2483" s="1" t="s">
        <v>945</v>
      </c>
      <c r="F2483" s="1">
        <v>1988533.0</v>
      </c>
    </row>
    <row r="2484">
      <c r="A2484" s="1">
        <v>2483.0</v>
      </c>
      <c r="B2484" s="1" t="s">
        <v>965</v>
      </c>
      <c r="C2484" s="1" t="s">
        <v>1389</v>
      </c>
      <c r="D2484" s="1">
        <v>1.0</v>
      </c>
      <c r="E2484" s="1" t="s">
        <v>945</v>
      </c>
      <c r="F2484" s="1">
        <v>19465.0</v>
      </c>
    </row>
    <row r="2485">
      <c r="A2485" s="1">
        <v>2484.0</v>
      </c>
      <c r="B2485" s="1" t="s">
        <v>1591</v>
      </c>
      <c r="C2485" s="1" t="s">
        <v>1389</v>
      </c>
      <c r="D2485" s="1">
        <v>1.0</v>
      </c>
      <c r="E2485" s="1" t="s">
        <v>945</v>
      </c>
      <c r="F2485" s="1">
        <v>68.0</v>
      </c>
    </row>
    <row r="2486">
      <c r="A2486" s="1">
        <v>2485.0</v>
      </c>
      <c r="B2486" s="1" t="s">
        <v>1592</v>
      </c>
      <c r="C2486" s="1" t="s">
        <v>1389</v>
      </c>
      <c r="D2486" s="1">
        <v>1.0</v>
      </c>
      <c r="E2486" s="1" t="s">
        <v>945</v>
      </c>
      <c r="F2486" s="1">
        <v>30950.0</v>
      </c>
    </row>
    <row r="2487">
      <c r="A2487" s="1">
        <v>2486.0</v>
      </c>
      <c r="B2487" s="1" t="s">
        <v>1593</v>
      </c>
      <c r="C2487" s="1" t="s">
        <v>1389</v>
      </c>
      <c r="D2487" s="1">
        <v>1.0</v>
      </c>
      <c r="E2487" s="1" t="s">
        <v>945</v>
      </c>
      <c r="F2487" s="1">
        <v>5.0</v>
      </c>
    </row>
    <row r="2488">
      <c r="A2488" s="1">
        <v>2487.0</v>
      </c>
      <c r="B2488" s="1" t="s">
        <v>1337</v>
      </c>
      <c r="C2488" s="1" t="s">
        <v>1389</v>
      </c>
      <c r="D2488" s="1">
        <v>1.0</v>
      </c>
      <c r="E2488" s="1" t="s">
        <v>945</v>
      </c>
      <c r="F2488" s="1">
        <v>237.0</v>
      </c>
    </row>
    <row r="2489">
      <c r="A2489" s="1">
        <v>2488.0</v>
      </c>
      <c r="B2489" s="1" t="s">
        <v>1594</v>
      </c>
      <c r="C2489" s="1" t="s">
        <v>1389</v>
      </c>
      <c r="D2489" s="1">
        <v>1.0</v>
      </c>
      <c r="E2489" s="1" t="s">
        <v>945</v>
      </c>
      <c r="F2489" s="1">
        <v>311716.0</v>
      </c>
    </row>
    <row r="2490">
      <c r="A2490" s="1">
        <v>2489.0</v>
      </c>
      <c r="B2490" s="1" t="s">
        <v>1595</v>
      </c>
      <c r="C2490" s="1" t="s">
        <v>1389</v>
      </c>
      <c r="D2490" s="1">
        <v>1.0</v>
      </c>
      <c r="E2490" s="1" t="s">
        <v>945</v>
      </c>
      <c r="F2490" s="1">
        <v>385890.0</v>
      </c>
    </row>
    <row r="2491">
      <c r="A2491" s="1">
        <v>2490.0</v>
      </c>
      <c r="B2491" s="1" t="s">
        <v>1596</v>
      </c>
      <c r="C2491" s="1" t="s">
        <v>1389</v>
      </c>
      <c r="D2491" s="1">
        <v>1.0</v>
      </c>
      <c r="E2491" s="1" t="s">
        <v>945</v>
      </c>
      <c r="F2491" s="1">
        <v>1900000.0</v>
      </c>
    </row>
    <row r="2492">
      <c r="A2492" s="1">
        <v>2491.0</v>
      </c>
      <c r="B2492" s="1" t="s">
        <v>1316</v>
      </c>
      <c r="C2492" s="1" t="s">
        <v>1389</v>
      </c>
      <c r="D2492" s="1">
        <v>1.0</v>
      </c>
      <c r="E2492" s="1" t="s">
        <v>945</v>
      </c>
      <c r="F2492" s="1">
        <v>502441.0</v>
      </c>
    </row>
    <row r="2493">
      <c r="A2493" s="1">
        <v>2492.0</v>
      </c>
      <c r="B2493" s="1" t="s">
        <v>1597</v>
      </c>
      <c r="C2493" s="1" t="s">
        <v>1389</v>
      </c>
      <c r="D2493" s="1">
        <v>1.0</v>
      </c>
      <c r="E2493" s="1" t="s">
        <v>945</v>
      </c>
      <c r="F2493" s="1">
        <v>891759.0</v>
      </c>
    </row>
    <row r="2494">
      <c r="A2494" s="1">
        <v>2493.0</v>
      </c>
      <c r="B2494" s="1" t="s">
        <v>1598</v>
      </c>
      <c r="C2494" s="1" t="s">
        <v>1389</v>
      </c>
      <c r="D2494" s="1">
        <v>1.0</v>
      </c>
      <c r="E2494" s="1" t="s">
        <v>945</v>
      </c>
      <c r="F2494" s="1">
        <v>62.0</v>
      </c>
    </row>
    <row r="2495">
      <c r="A2495" s="1">
        <v>2494.0</v>
      </c>
      <c r="B2495" s="1" t="s">
        <v>1599</v>
      </c>
      <c r="C2495" s="1" t="s">
        <v>1389</v>
      </c>
      <c r="D2495" s="1">
        <v>1.0</v>
      </c>
      <c r="E2495" s="1" t="s">
        <v>945</v>
      </c>
      <c r="F2495" s="1">
        <v>63.0</v>
      </c>
    </row>
    <row r="2496">
      <c r="A2496" s="1">
        <v>2495.0</v>
      </c>
      <c r="B2496" s="1" t="s">
        <v>1600</v>
      </c>
      <c r="C2496" s="1" t="s">
        <v>1389</v>
      </c>
      <c r="D2496" s="1">
        <v>1.0</v>
      </c>
      <c r="E2496" s="1" t="s">
        <v>945</v>
      </c>
      <c r="F2496" s="1">
        <v>322077.0</v>
      </c>
    </row>
    <row r="2497">
      <c r="A2497" s="1">
        <v>2496.0</v>
      </c>
      <c r="B2497" s="1" t="s">
        <v>1601</v>
      </c>
      <c r="C2497" s="1" t="s">
        <v>1389</v>
      </c>
      <c r="D2497" s="1">
        <v>1.0</v>
      </c>
      <c r="E2497" s="1" t="s">
        <v>945</v>
      </c>
      <c r="F2497" s="1">
        <v>8.0</v>
      </c>
    </row>
    <row r="2498">
      <c r="A2498" s="1">
        <v>2497.0</v>
      </c>
      <c r="B2498" s="1" t="s">
        <v>1602</v>
      </c>
      <c r="C2498" s="1" t="s">
        <v>1389</v>
      </c>
      <c r="D2498" s="1">
        <v>1.0</v>
      </c>
      <c r="E2498" s="1" t="s">
        <v>945</v>
      </c>
      <c r="F2498" s="1">
        <v>35.0</v>
      </c>
    </row>
    <row r="2499">
      <c r="A2499" s="1">
        <v>2498.0</v>
      </c>
      <c r="B2499" s="1" t="s">
        <v>1603</v>
      </c>
      <c r="C2499" s="1" t="s">
        <v>1389</v>
      </c>
      <c r="D2499" s="1">
        <v>1.0</v>
      </c>
      <c r="E2499" s="1" t="s">
        <v>945</v>
      </c>
      <c r="F2499" s="1">
        <v>48370.0</v>
      </c>
    </row>
    <row r="2500">
      <c r="A2500" s="1">
        <v>2499.0</v>
      </c>
      <c r="B2500" s="1" t="s">
        <v>59</v>
      </c>
      <c r="C2500" s="1" t="s">
        <v>1389</v>
      </c>
      <c r="D2500" s="1">
        <v>1.0</v>
      </c>
      <c r="E2500" s="1" t="s">
        <v>945</v>
      </c>
      <c r="F2500" s="1">
        <v>321853.0</v>
      </c>
    </row>
    <row r="2501">
      <c r="A2501" s="1">
        <v>2500.0</v>
      </c>
      <c r="B2501" s="1" t="s">
        <v>995</v>
      </c>
      <c r="C2501" s="1" t="s">
        <v>1389</v>
      </c>
      <c r="D2501" s="1">
        <v>1.0</v>
      </c>
      <c r="E2501" s="1" t="s">
        <v>945</v>
      </c>
      <c r="F2501" s="1">
        <v>1860082.0</v>
      </c>
    </row>
    <row r="2502">
      <c r="A2502" s="1">
        <v>2501.0</v>
      </c>
      <c r="B2502" s="1" t="s">
        <v>130</v>
      </c>
      <c r="C2502" s="1" t="s">
        <v>1389</v>
      </c>
      <c r="D2502" s="1">
        <v>1.0</v>
      </c>
      <c r="E2502" s="1" t="s">
        <v>945</v>
      </c>
      <c r="F2502" s="1">
        <v>53744.0</v>
      </c>
    </row>
    <row r="2503">
      <c r="A2503" s="1">
        <v>2502.0</v>
      </c>
      <c r="B2503" s="1" t="s">
        <v>330</v>
      </c>
      <c r="C2503" s="1" t="s">
        <v>1389</v>
      </c>
      <c r="D2503" s="1">
        <v>1.0</v>
      </c>
      <c r="E2503" s="1" t="s">
        <v>945</v>
      </c>
      <c r="F2503" s="1">
        <v>200.0</v>
      </c>
    </row>
    <row r="2504">
      <c r="A2504" s="1">
        <v>2503.0</v>
      </c>
      <c r="B2504" s="1" t="s">
        <v>1604</v>
      </c>
      <c r="C2504" s="1" t="s">
        <v>1389</v>
      </c>
      <c r="D2504" s="1">
        <v>1.0</v>
      </c>
      <c r="E2504" s="1" t="s">
        <v>945</v>
      </c>
      <c r="F2504" s="1">
        <v>14941.0</v>
      </c>
    </row>
    <row r="2505">
      <c r="A2505" s="1">
        <v>2504.0</v>
      </c>
      <c r="B2505" s="1" t="s">
        <v>1605</v>
      </c>
      <c r="C2505" s="1" t="s">
        <v>1389</v>
      </c>
      <c r="D2505" s="1">
        <v>1.0</v>
      </c>
      <c r="E2505" s="1" t="s">
        <v>945</v>
      </c>
      <c r="F2505" s="1">
        <v>894346.0</v>
      </c>
    </row>
    <row r="2506">
      <c r="A2506" s="1">
        <v>2505.0</v>
      </c>
      <c r="B2506" s="5" t="s">
        <v>1606</v>
      </c>
      <c r="C2506" s="1" t="s">
        <v>1389</v>
      </c>
      <c r="D2506" s="1">
        <v>1.0</v>
      </c>
      <c r="E2506" s="1" t="s">
        <v>945</v>
      </c>
      <c r="F2506" s="1">
        <v>2540253.0</v>
      </c>
    </row>
    <row r="2507">
      <c r="A2507" s="1">
        <v>2506.0</v>
      </c>
      <c r="B2507" s="1" t="s">
        <v>1607</v>
      </c>
      <c r="C2507" s="1" t="s">
        <v>1389</v>
      </c>
      <c r="D2507" s="1">
        <v>1.0</v>
      </c>
      <c r="E2507" s="1" t="s">
        <v>945</v>
      </c>
      <c r="F2507" s="1">
        <v>2597406.0</v>
      </c>
    </row>
    <row r="2508">
      <c r="A2508" s="1">
        <v>2507.0</v>
      </c>
      <c r="B2508" s="1" t="s">
        <v>971</v>
      </c>
      <c r="C2508" s="1" t="s">
        <v>1389</v>
      </c>
      <c r="D2508" s="1">
        <v>1.0</v>
      </c>
      <c r="E2508" s="1" t="s">
        <v>945</v>
      </c>
      <c r="F2508" s="1">
        <v>932374.0</v>
      </c>
    </row>
    <row r="2509">
      <c r="A2509" s="1">
        <v>2508.0</v>
      </c>
      <c r="B2509" s="1" t="s">
        <v>1608</v>
      </c>
      <c r="C2509" s="1" t="s">
        <v>1389</v>
      </c>
      <c r="D2509" s="1">
        <v>1.0</v>
      </c>
      <c r="E2509" s="1" t="s">
        <v>945</v>
      </c>
      <c r="F2509" s="1">
        <v>53.0</v>
      </c>
    </row>
    <row r="2510">
      <c r="A2510" s="1">
        <v>2509.0</v>
      </c>
      <c r="B2510" s="1" t="s">
        <v>1609</v>
      </c>
      <c r="C2510" s="1" t="s">
        <v>1389</v>
      </c>
      <c r="D2510" s="1">
        <v>1.0</v>
      </c>
      <c r="E2510" s="1" t="s">
        <v>945</v>
      </c>
      <c r="F2510" s="1">
        <v>1743621.0</v>
      </c>
    </row>
    <row r="2511">
      <c r="A2511" s="1">
        <v>2510.0</v>
      </c>
      <c r="B2511" s="1" t="s">
        <v>1610</v>
      </c>
      <c r="C2511" s="1" t="s">
        <v>1389</v>
      </c>
      <c r="D2511" s="1">
        <v>1.0</v>
      </c>
      <c r="E2511" s="1" t="s">
        <v>945</v>
      </c>
      <c r="F2511" s="1">
        <v>5.0</v>
      </c>
    </row>
    <row r="2512">
      <c r="A2512" s="1">
        <v>2511.0</v>
      </c>
      <c r="B2512" s="1" t="s">
        <v>1611</v>
      </c>
      <c r="C2512" s="1" t="s">
        <v>1389</v>
      </c>
      <c r="D2512" s="1">
        <v>1.0</v>
      </c>
      <c r="E2512" s="1" t="s">
        <v>945</v>
      </c>
      <c r="F2512" s="1">
        <v>80391.0</v>
      </c>
    </row>
    <row r="2513">
      <c r="A2513" s="1">
        <v>2512.0</v>
      </c>
      <c r="B2513" s="1" t="s">
        <v>1612</v>
      </c>
      <c r="C2513" s="1" t="s">
        <v>1389</v>
      </c>
      <c r="D2513" s="1">
        <v>1.0</v>
      </c>
      <c r="E2513" s="1" t="s">
        <v>945</v>
      </c>
      <c r="F2513" s="1">
        <v>52790.0</v>
      </c>
    </row>
    <row r="2514">
      <c r="A2514" s="1">
        <v>2513.0</v>
      </c>
      <c r="B2514" s="1" t="s">
        <v>1613</v>
      </c>
      <c r="C2514" s="1" t="s">
        <v>1389</v>
      </c>
      <c r="D2514" s="1">
        <v>1.0</v>
      </c>
      <c r="E2514" s="1" t="s">
        <v>945</v>
      </c>
      <c r="F2514" s="1">
        <v>3123584.0</v>
      </c>
    </row>
    <row r="2515">
      <c r="A2515" s="1">
        <v>2514.0</v>
      </c>
      <c r="B2515" s="1" t="s">
        <v>1614</v>
      </c>
      <c r="C2515" s="1" t="s">
        <v>1389</v>
      </c>
      <c r="D2515" s="1">
        <v>1.0</v>
      </c>
      <c r="E2515" s="1" t="s">
        <v>945</v>
      </c>
      <c r="F2515" s="1">
        <v>50.0</v>
      </c>
    </row>
    <row r="2516">
      <c r="A2516" s="1">
        <v>2515.0</v>
      </c>
      <c r="B2516" s="1" t="s">
        <v>1615</v>
      </c>
      <c r="C2516" s="1" t="s">
        <v>1389</v>
      </c>
      <c r="D2516" s="1">
        <v>1.0</v>
      </c>
      <c r="E2516" s="1" t="s">
        <v>945</v>
      </c>
      <c r="F2516" s="1">
        <v>1095095.0</v>
      </c>
    </row>
    <row r="2517">
      <c r="A2517" s="1">
        <v>2516.0</v>
      </c>
      <c r="B2517" s="1" t="s">
        <v>1616</v>
      </c>
      <c r="C2517" s="1" t="s">
        <v>1389</v>
      </c>
      <c r="D2517" s="1">
        <v>1.0</v>
      </c>
      <c r="E2517" s="1" t="s">
        <v>945</v>
      </c>
      <c r="F2517" s="1">
        <v>234082.0</v>
      </c>
    </row>
    <row r="2518">
      <c r="A2518" s="1">
        <v>2517.0</v>
      </c>
      <c r="B2518" s="1" t="s">
        <v>957</v>
      </c>
      <c r="C2518" s="1" t="s">
        <v>1389</v>
      </c>
      <c r="D2518" s="1">
        <v>1.0</v>
      </c>
      <c r="E2518" s="1" t="s">
        <v>945</v>
      </c>
      <c r="F2518" s="1">
        <v>1090171.0</v>
      </c>
    </row>
    <row r="2519">
      <c r="A2519" s="1">
        <v>2518.0</v>
      </c>
      <c r="B2519" s="1" t="s">
        <v>1617</v>
      </c>
      <c r="C2519" s="1" t="s">
        <v>1389</v>
      </c>
      <c r="D2519" s="1">
        <v>1.0</v>
      </c>
      <c r="E2519" s="1" t="s">
        <v>945</v>
      </c>
      <c r="F2519" s="1">
        <v>561.0</v>
      </c>
    </row>
    <row r="2520">
      <c r="A2520" s="1">
        <v>2519.0</v>
      </c>
      <c r="B2520" s="1" t="s">
        <v>1618</v>
      </c>
      <c r="C2520" s="1" t="s">
        <v>1389</v>
      </c>
      <c r="D2520" s="1">
        <v>1.0</v>
      </c>
      <c r="E2520" s="1" t="s">
        <v>945</v>
      </c>
      <c r="F2520" s="1">
        <v>3108546.0</v>
      </c>
    </row>
    <row r="2521">
      <c r="A2521" s="1">
        <v>2520.0</v>
      </c>
      <c r="B2521" s="5" t="s">
        <v>1619</v>
      </c>
      <c r="C2521" s="1" t="s">
        <v>1389</v>
      </c>
      <c r="D2521" s="1">
        <v>1.0</v>
      </c>
      <c r="E2521" s="1" t="s">
        <v>945</v>
      </c>
      <c r="F2521" s="1">
        <v>162802.0</v>
      </c>
    </row>
    <row r="2522">
      <c r="A2522" s="1">
        <v>2521.0</v>
      </c>
      <c r="B2522" s="1" t="s">
        <v>683</v>
      </c>
      <c r="C2522" s="1" t="s">
        <v>1389</v>
      </c>
      <c r="D2522" s="1">
        <v>1.0</v>
      </c>
      <c r="E2522" s="1" t="s">
        <v>945</v>
      </c>
      <c r="F2522" s="1">
        <v>9.0</v>
      </c>
    </row>
    <row r="2523">
      <c r="A2523" s="1">
        <v>2522.0</v>
      </c>
      <c r="B2523" s="1" t="s">
        <v>1620</v>
      </c>
      <c r="C2523" s="1" t="s">
        <v>1389</v>
      </c>
      <c r="D2523" s="1">
        <v>15.0</v>
      </c>
      <c r="E2523" s="1" t="s">
        <v>945</v>
      </c>
      <c r="F2523" s="1">
        <v>1080000.0</v>
      </c>
    </row>
    <row r="2524">
      <c r="A2524" s="1">
        <v>2523.0</v>
      </c>
      <c r="B2524" s="1" t="s">
        <v>1483</v>
      </c>
      <c r="C2524" s="1" t="s">
        <v>1389</v>
      </c>
      <c r="D2524" s="1">
        <v>12.0</v>
      </c>
      <c r="E2524" s="1" t="s">
        <v>945</v>
      </c>
      <c r="F2524" s="1">
        <v>886686.0</v>
      </c>
    </row>
    <row r="2525">
      <c r="A2525" s="1">
        <v>2524.0</v>
      </c>
      <c r="B2525" s="1" t="s">
        <v>1621</v>
      </c>
      <c r="C2525" s="1" t="s">
        <v>1389</v>
      </c>
      <c r="D2525" s="1">
        <v>7.0</v>
      </c>
      <c r="E2525" s="1" t="s">
        <v>945</v>
      </c>
      <c r="F2525" s="1">
        <v>2051223.0</v>
      </c>
    </row>
    <row r="2526">
      <c r="A2526" s="1">
        <v>2525.0</v>
      </c>
      <c r="B2526" s="1" t="s">
        <v>1622</v>
      </c>
      <c r="C2526" s="1" t="s">
        <v>1389</v>
      </c>
      <c r="D2526" s="1">
        <v>7.0</v>
      </c>
      <c r="E2526" s="1" t="s">
        <v>945</v>
      </c>
      <c r="F2526" s="1">
        <v>65.0</v>
      </c>
    </row>
    <row r="2527">
      <c r="A2527" s="1">
        <v>2526.0</v>
      </c>
      <c r="B2527" s="1" t="s">
        <v>946</v>
      </c>
      <c r="C2527" s="1" t="s">
        <v>1623</v>
      </c>
      <c r="D2527" s="1">
        <v>28.0</v>
      </c>
      <c r="E2527" s="1" t="s">
        <v>7</v>
      </c>
      <c r="F2527" s="1">
        <v>875066.0</v>
      </c>
    </row>
    <row r="2528">
      <c r="A2528" s="1">
        <v>2527.0</v>
      </c>
      <c r="B2528" s="1" t="s">
        <v>11</v>
      </c>
      <c r="C2528" s="1" t="s">
        <v>1623</v>
      </c>
      <c r="D2528" s="1">
        <v>5.0</v>
      </c>
      <c r="E2528" s="1" t="s">
        <v>7</v>
      </c>
      <c r="F2528" s="1">
        <v>748712.0</v>
      </c>
    </row>
    <row r="2529">
      <c r="A2529" s="1">
        <v>2528.0</v>
      </c>
      <c r="B2529" s="1" t="s">
        <v>469</v>
      </c>
      <c r="C2529" s="1" t="s">
        <v>1623</v>
      </c>
      <c r="D2529" s="1">
        <v>4.0</v>
      </c>
      <c r="E2529" s="1" t="s">
        <v>7</v>
      </c>
      <c r="F2529" s="1">
        <v>1525549.0</v>
      </c>
    </row>
    <row r="2530">
      <c r="A2530" s="1">
        <v>2529.0</v>
      </c>
      <c r="B2530" s="1" t="s">
        <v>51</v>
      </c>
      <c r="C2530" s="1" t="s">
        <v>1623</v>
      </c>
      <c r="D2530" s="1">
        <v>4.0</v>
      </c>
      <c r="E2530" s="1" t="s">
        <v>7</v>
      </c>
      <c r="F2530" s="1">
        <v>52096.0</v>
      </c>
    </row>
    <row r="2531">
      <c r="A2531" s="1">
        <v>2530.0</v>
      </c>
      <c r="B2531" s="1" t="s">
        <v>581</v>
      </c>
      <c r="C2531" s="1" t="s">
        <v>1623</v>
      </c>
      <c r="D2531" s="1">
        <v>3.0</v>
      </c>
      <c r="E2531" s="1" t="s">
        <v>7</v>
      </c>
      <c r="F2531" s="1">
        <v>244.0</v>
      </c>
    </row>
    <row r="2532">
      <c r="A2532" s="1">
        <v>2531.0</v>
      </c>
      <c r="B2532" s="1" t="s">
        <v>12</v>
      </c>
      <c r="C2532" s="1" t="s">
        <v>1623</v>
      </c>
      <c r="D2532" s="1">
        <v>2.0</v>
      </c>
      <c r="E2532" s="1" t="s">
        <v>7</v>
      </c>
      <c r="F2532" s="1">
        <v>832266.0</v>
      </c>
    </row>
    <row r="2533">
      <c r="A2533" s="1">
        <v>2532.0</v>
      </c>
      <c r="B2533" s="1" t="s">
        <v>27</v>
      </c>
      <c r="C2533" s="1" t="s">
        <v>1623</v>
      </c>
      <c r="D2533" s="1">
        <v>2.0</v>
      </c>
      <c r="E2533" s="1" t="s">
        <v>7</v>
      </c>
      <c r="F2533" s="1">
        <v>783333.0</v>
      </c>
    </row>
    <row r="2534">
      <c r="A2534" s="1">
        <v>2533.0</v>
      </c>
      <c r="B2534" s="1" t="s">
        <v>59</v>
      </c>
      <c r="C2534" s="1" t="s">
        <v>1623</v>
      </c>
      <c r="D2534" s="1">
        <v>2.0</v>
      </c>
      <c r="E2534" s="1" t="s">
        <v>7</v>
      </c>
      <c r="F2534" s="1">
        <v>99468.0</v>
      </c>
    </row>
    <row r="2535">
      <c r="A2535" s="1">
        <v>2534.0</v>
      </c>
      <c r="B2535" s="1" t="s">
        <v>29</v>
      </c>
      <c r="C2535" s="1" t="s">
        <v>1623</v>
      </c>
      <c r="D2535" s="1">
        <v>2.0</v>
      </c>
      <c r="E2535" s="1" t="s">
        <v>7</v>
      </c>
      <c r="F2535" s="1">
        <v>1088590.0</v>
      </c>
    </row>
    <row r="2536">
      <c r="A2536" s="1">
        <v>2535.0</v>
      </c>
      <c r="B2536" s="1" t="s">
        <v>47</v>
      </c>
      <c r="C2536" s="1" t="s">
        <v>1623</v>
      </c>
      <c r="D2536" s="1">
        <v>2.0</v>
      </c>
      <c r="E2536" s="1" t="s">
        <v>7</v>
      </c>
      <c r="F2536" s="1">
        <v>931048.0</v>
      </c>
    </row>
    <row r="2537">
      <c r="A2537" s="1">
        <v>2536.0</v>
      </c>
      <c r="B2537" s="1" t="s">
        <v>33</v>
      </c>
      <c r="C2537" s="1" t="s">
        <v>1623</v>
      </c>
      <c r="D2537" s="1">
        <v>2.0</v>
      </c>
      <c r="E2537" s="1" t="s">
        <v>7</v>
      </c>
      <c r="F2537" s="1">
        <v>30253.0</v>
      </c>
    </row>
    <row r="2538">
      <c r="A2538" s="1">
        <v>2537.0</v>
      </c>
      <c r="B2538" s="1" t="s">
        <v>31</v>
      </c>
      <c r="C2538" s="1" t="s">
        <v>1623</v>
      </c>
      <c r="D2538" s="1">
        <v>2.0</v>
      </c>
      <c r="E2538" s="1" t="s">
        <v>7</v>
      </c>
      <c r="F2538" s="1">
        <v>2340910.0</v>
      </c>
    </row>
    <row r="2539">
      <c r="A2539" s="1">
        <v>2538.0</v>
      </c>
      <c r="B2539" s="1" t="s">
        <v>54</v>
      </c>
      <c r="C2539" s="1" t="s">
        <v>1623</v>
      </c>
      <c r="D2539" s="1">
        <v>2.0</v>
      </c>
      <c r="E2539" s="1" t="s">
        <v>7</v>
      </c>
      <c r="F2539" s="1">
        <v>575209.0</v>
      </c>
    </row>
    <row r="2540">
      <c r="A2540" s="1">
        <v>2539.0</v>
      </c>
      <c r="B2540" s="1" t="s">
        <v>52</v>
      </c>
      <c r="C2540" s="1" t="s">
        <v>1623</v>
      </c>
      <c r="D2540" s="1">
        <v>2.0</v>
      </c>
      <c r="E2540" s="1" t="s">
        <v>7</v>
      </c>
      <c r="F2540" s="1">
        <v>1521127.0</v>
      </c>
    </row>
    <row r="2541">
      <c r="A2541" s="1">
        <v>2540.0</v>
      </c>
      <c r="B2541" s="1" t="s">
        <v>1624</v>
      </c>
      <c r="C2541" s="1" t="s">
        <v>1623</v>
      </c>
      <c r="D2541" s="1">
        <v>2.0</v>
      </c>
      <c r="E2541" s="1" t="s">
        <v>7</v>
      </c>
      <c r="F2541" s="1">
        <v>49093.0</v>
      </c>
    </row>
    <row r="2542">
      <c r="A2542" s="1">
        <v>2541.0</v>
      </c>
      <c r="B2542" s="1" t="s">
        <v>67</v>
      </c>
      <c r="C2542" s="1" t="s">
        <v>1623</v>
      </c>
      <c r="D2542" s="1">
        <v>2.0</v>
      </c>
      <c r="E2542" s="1" t="s">
        <v>7</v>
      </c>
      <c r="F2542" s="1">
        <v>927200.0</v>
      </c>
    </row>
    <row r="2543">
      <c r="A2543" s="1">
        <v>2542.0</v>
      </c>
      <c r="B2543" s="1" t="s">
        <v>1625</v>
      </c>
      <c r="C2543" s="1" t="s">
        <v>1623</v>
      </c>
      <c r="D2543" s="1">
        <v>2.0</v>
      </c>
      <c r="E2543" s="1" t="s">
        <v>7</v>
      </c>
      <c r="F2543" s="1">
        <v>338722.0</v>
      </c>
    </row>
    <row r="2544">
      <c r="A2544" s="1">
        <v>2543.0</v>
      </c>
      <c r="B2544" s="1" t="s">
        <v>1626</v>
      </c>
      <c r="C2544" s="1" t="s">
        <v>1623</v>
      </c>
      <c r="D2544" s="1">
        <v>2.0</v>
      </c>
      <c r="E2544" s="1" t="s">
        <v>7</v>
      </c>
      <c r="F2544" s="1">
        <v>1168458.0</v>
      </c>
    </row>
    <row r="2545">
      <c r="A2545" s="1">
        <v>2544.0</v>
      </c>
      <c r="B2545" s="1" t="s">
        <v>1627</v>
      </c>
      <c r="C2545" s="1" t="s">
        <v>1623</v>
      </c>
      <c r="D2545" s="1">
        <v>2.0</v>
      </c>
      <c r="E2545" s="1" t="s">
        <v>7</v>
      </c>
      <c r="F2545" s="1">
        <v>665000.0</v>
      </c>
    </row>
    <row r="2546">
      <c r="A2546" s="1">
        <v>2545.0</v>
      </c>
      <c r="B2546" s="1" t="s">
        <v>1628</v>
      </c>
      <c r="C2546" s="1" t="s">
        <v>1623</v>
      </c>
      <c r="D2546" s="1">
        <v>2.0</v>
      </c>
      <c r="E2546" s="1" t="s">
        <v>7</v>
      </c>
      <c r="F2546" s="1">
        <v>1180965.0</v>
      </c>
    </row>
    <row r="2547">
      <c r="A2547" s="1">
        <v>2546.0</v>
      </c>
      <c r="B2547" s="1" t="s">
        <v>1629</v>
      </c>
      <c r="C2547" s="1" t="s">
        <v>1623</v>
      </c>
      <c r="D2547" s="1">
        <v>2.0</v>
      </c>
      <c r="E2547" s="1" t="s">
        <v>7</v>
      </c>
      <c r="F2547" s="1">
        <v>562103.0</v>
      </c>
    </row>
    <row r="2548">
      <c r="A2548" s="1">
        <v>2547.0</v>
      </c>
      <c r="B2548" s="1" t="s">
        <v>1630</v>
      </c>
      <c r="C2548" s="1" t="s">
        <v>1623</v>
      </c>
      <c r="D2548" s="1">
        <v>2.0</v>
      </c>
      <c r="E2548" s="1" t="s">
        <v>7</v>
      </c>
      <c r="F2548" s="1">
        <v>991010.0</v>
      </c>
    </row>
    <row r="2549">
      <c r="A2549" s="1">
        <v>2548.0</v>
      </c>
      <c r="B2549" s="1" t="s">
        <v>1631</v>
      </c>
      <c r="C2549" s="1" t="s">
        <v>1623</v>
      </c>
      <c r="D2549" s="1">
        <v>2.0</v>
      </c>
      <c r="E2549" s="1" t="s">
        <v>7</v>
      </c>
      <c r="F2549" s="1">
        <v>984047.0</v>
      </c>
    </row>
    <row r="2550">
      <c r="A2550" s="1">
        <v>2549.0</v>
      </c>
      <c r="B2550" s="1" t="s">
        <v>1632</v>
      </c>
      <c r="C2550" s="1" t="s">
        <v>1623</v>
      </c>
      <c r="D2550" s="1">
        <v>2.0</v>
      </c>
      <c r="E2550" s="1" t="s">
        <v>7</v>
      </c>
      <c r="F2550" s="1">
        <v>551847.0</v>
      </c>
    </row>
    <row r="2551">
      <c r="A2551" s="1">
        <v>2550.0</v>
      </c>
      <c r="B2551" s="1" t="s">
        <v>1633</v>
      </c>
      <c r="C2551" s="1" t="s">
        <v>1623</v>
      </c>
      <c r="D2551" s="1">
        <v>2.0</v>
      </c>
      <c r="E2551" s="1" t="s">
        <v>7</v>
      </c>
      <c r="F2551" s="1">
        <v>2452646.0</v>
      </c>
    </row>
    <row r="2552">
      <c r="A2552" s="1">
        <v>2551.0</v>
      </c>
      <c r="B2552" s="1" t="s">
        <v>1634</v>
      </c>
      <c r="C2552" s="1" t="s">
        <v>1623</v>
      </c>
      <c r="D2552" s="1">
        <v>2.0</v>
      </c>
      <c r="E2552" s="1" t="s">
        <v>7</v>
      </c>
      <c r="F2552" s="1">
        <v>636937.0</v>
      </c>
    </row>
    <row r="2553">
      <c r="A2553" s="1">
        <v>2552.0</v>
      </c>
      <c r="B2553" s="1" t="s">
        <v>1635</v>
      </c>
      <c r="C2553" s="1" t="s">
        <v>1623</v>
      </c>
      <c r="D2553" s="1">
        <v>2.0</v>
      </c>
      <c r="E2553" s="1" t="s">
        <v>7</v>
      </c>
      <c r="F2553" s="1">
        <v>126272.0</v>
      </c>
    </row>
    <row r="2554">
      <c r="A2554" s="1">
        <v>2553.0</v>
      </c>
      <c r="B2554" s="1" t="s">
        <v>1636</v>
      </c>
      <c r="C2554" s="1" t="s">
        <v>1623</v>
      </c>
      <c r="D2554" s="1">
        <v>2.0</v>
      </c>
      <c r="E2554" s="1" t="s">
        <v>7</v>
      </c>
      <c r="F2554" s="1">
        <v>1027889.0</v>
      </c>
    </row>
    <row r="2555">
      <c r="A2555" s="1">
        <v>2554.0</v>
      </c>
      <c r="B2555" s="1" t="s">
        <v>1637</v>
      </c>
      <c r="C2555" s="1" t="s">
        <v>1623</v>
      </c>
      <c r="D2555" s="1">
        <v>2.0</v>
      </c>
      <c r="E2555" s="1" t="s">
        <v>7</v>
      </c>
      <c r="F2555" s="1">
        <v>84402.0</v>
      </c>
    </row>
    <row r="2556">
      <c r="A2556" s="1">
        <v>2555.0</v>
      </c>
      <c r="B2556" s="1" t="s">
        <v>1638</v>
      </c>
      <c r="C2556" s="1" t="s">
        <v>1623</v>
      </c>
      <c r="D2556" s="1">
        <v>2.0</v>
      </c>
      <c r="E2556" s="1" t="s">
        <v>7</v>
      </c>
      <c r="F2556" s="1">
        <v>1608545.0</v>
      </c>
    </row>
    <row r="2557">
      <c r="A2557" s="1">
        <v>2556.0</v>
      </c>
      <c r="B2557" s="1" t="s">
        <v>1639</v>
      </c>
      <c r="C2557" s="1" t="s">
        <v>1623</v>
      </c>
      <c r="D2557" s="1">
        <v>2.0</v>
      </c>
      <c r="E2557" s="1" t="s">
        <v>7</v>
      </c>
      <c r="F2557" s="1">
        <v>562282.0</v>
      </c>
    </row>
    <row r="2558">
      <c r="A2558" s="1">
        <v>2557.0</v>
      </c>
      <c r="B2558" s="1" t="s">
        <v>1640</v>
      </c>
      <c r="C2558" s="1" t="s">
        <v>1623</v>
      </c>
      <c r="D2558" s="1">
        <v>2.0</v>
      </c>
      <c r="E2558" s="1" t="s">
        <v>7</v>
      </c>
      <c r="F2558" s="1">
        <v>709492.0</v>
      </c>
    </row>
    <row r="2559">
      <c r="A2559" s="1">
        <v>2558.0</v>
      </c>
      <c r="B2559" s="1" t="s">
        <v>65</v>
      </c>
      <c r="C2559" s="1" t="s">
        <v>1623</v>
      </c>
      <c r="D2559" s="1">
        <v>1.0</v>
      </c>
      <c r="E2559" s="1" t="s">
        <v>7</v>
      </c>
      <c r="F2559" s="1">
        <v>2823268.0</v>
      </c>
    </row>
    <row r="2560">
      <c r="A2560" s="1">
        <v>2559.0</v>
      </c>
      <c r="B2560" s="1" t="s">
        <v>33</v>
      </c>
      <c r="C2560" s="1" t="s">
        <v>1623</v>
      </c>
      <c r="D2560" s="1">
        <v>1.0</v>
      </c>
      <c r="E2560" s="1" t="s">
        <v>7</v>
      </c>
      <c r="F2560" s="1">
        <v>60.0</v>
      </c>
    </row>
    <row r="2561">
      <c r="A2561" s="1">
        <v>2560.0</v>
      </c>
      <c r="B2561" s="1" t="s">
        <v>125</v>
      </c>
      <c r="C2561" s="1" t="s">
        <v>1623</v>
      </c>
      <c r="D2561" s="1">
        <v>1.0</v>
      </c>
      <c r="E2561" s="1" t="s">
        <v>7</v>
      </c>
      <c r="F2561" s="1">
        <v>6.0</v>
      </c>
    </row>
    <row r="2562">
      <c r="A2562" s="1">
        <v>2561.0</v>
      </c>
      <c r="B2562" s="1" t="s">
        <v>627</v>
      </c>
      <c r="C2562" s="1" t="s">
        <v>1623</v>
      </c>
      <c r="D2562" s="1">
        <v>1.0</v>
      </c>
      <c r="E2562" s="1" t="s">
        <v>7</v>
      </c>
      <c r="F2562" s="1">
        <v>1467538.0</v>
      </c>
    </row>
    <row r="2563">
      <c r="A2563" s="1">
        <v>2562.0</v>
      </c>
      <c r="B2563" s="1" t="s">
        <v>23</v>
      </c>
      <c r="C2563" s="1" t="s">
        <v>1623</v>
      </c>
      <c r="D2563" s="1">
        <v>1.0</v>
      </c>
      <c r="E2563" s="1" t="s">
        <v>7</v>
      </c>
      <c r="F2563" s="1">
        <v>128986.0</v>
      </c>
    </row>
    <row r="2564">
      <c r="A2564" s="1">
        <v>2563.0</v>
      </c>
      <c r="B2564" s="1" t="s">
        <v>804</v>
      </c>
      <c r="C2564" s="1" t="s">
        <v>1623</v>
      </c>
      <c r="D2564" s="1">
        <v>1.0</v>
      </c>
      <c r="E2564" s="1" t="s">
        <v>7</v>
      </c>
      <c r="F2564" s="1">
        <v>34.0</v>
      </c>
    </row>
    <row r="2565">
      <c r="A2565" s="1">
        <v>2564.0</v>
      </c>
      <c r="B2565" s="1" t="s">
        <v>53</v>
      </c>
      <c r="C2565" s="1" t="s">
        <v>1623</v>
      </c>
      <c r="D2565" s="1">
        <v>1.0</v>
      </c>
      <c r="E2565" s="1" t="s">
        <v>7</v>
      </c>
      <c r="F2565" s="1">
        <v>29640.0</v>
      </c>
    </row>
    <row r="2566">
      <c r="A2566" s="1">
        <v>2565.0</v>
      </c>
      <c r="B2566" s="1" t="s">
        <v>662</v>
      </c>
      <c r="C2566" s="1" t="s">
        <v>1623</v>
      </c>
      <c r="D2566" s="1">
        <v>1.0</v>
      </c>
      <c r="E2566" s="1" t="s">
        <v>7</v>
      </c>
      <c r="F2566" s="1">
        <v>957009.0</v>
      </c>
    </row>
    <row r="2567">
      <c r="A2567" s="1">
        <v>2566.0</v>
      </c>
      <c r="B2567" s="1" t="s">
        <v>70</v>
      </c>
      <c r="C2567" s="1" t="s">
        <v>1623</v>
      </c>
      <c r="D2567" s="1">
        <v>1.0</v>
      </c>
      <c r="E2567" s="1" t="s">
        <v>7</v>
      </c>
      <c r="F2567" s="1">
        <v>9.0</v>
      </c>
    </row>
    <row r="2568">
      <c r="A2568" s="1">
        <v>2567.0</v>
      </c>
      <c r="B2568" s="1" t="s">
        <v>237</v>
      </c>
      <c r="C2568" s="1" t="s">
        <v>1623</v>
      </c>
      <c r="D2568" s="1">
        <v>1.0</v>
      </c>
      <c r="E2568" s="1" t="s">
        <v>7</v>
      </c>
      <c r="F2568" s="1">
        <v>15460.0</v>
      </c>
    </row>
    <row r="2569">
      <c r="A2569" s="1">
        <v>2568.0</v>
      </c>
      <c r="B2569" s="1" t="s">
        <v>63</v>
      </c>
      <c r="C2569" s="1" t="s">
        <v>1623</v>
      </c>
      <c r="D2569" s="1">
        <v>1.0</v>
      </c>
      <c r="E2569" s="1" t="s">
        <v>7</v>
      </c>
      <c r="F2569" s="1">
        <v>5490.0</v>
      </c>
    </row>
    <row r="2570">
      <c r="A2570" s="1">
        <v>2569.0</v>
      </c>
      <c r="B2570" s="1" t="s">
        <v>51</v>
      </c>
      <c r="C2570" s="1" t="s">
        <v>1623</v>
      </c>
      <c r="D2570" s="1">
        <v>1.0</v>
      </c>
      <c r="E2570" s="1" t="s">
        <v>7</v>
      </c>
      <c r="F2570" s="1">
        <v>32548.0</v>
      </c>
    </row>
    <row r="2571">
      <c r="A2571" s="1">
        <v>2570.0</v>
      </c>
      <c r="B2571" s="1" t="s">
        <v>283</v>
      </c>
      <c r="C2571" s="1" t="s">
        <v>1623</v>
      </c>
      <c r="D2571" s="1">
        <v>1.0</v>
      </c>
      <c r="E2571" s="1" t="s">
        <v>7</v>
      </c>
      <c r="F2571" s="1">
        <v>1550069.0</v>
      </c>
    </row>
    <row r="2572">
      <c r="A2572" s="1">
        <v>2571.0</v>
      </c>
      <c r="B2572" s="1" t="s">
        <v>1280</v>
      </c>
      <c r="C2572" s="1" t="s">
        <v>1623</v>
      </c>
      <c r="D2572" s="1">
        <v>1.0</v>
      </c>
      <c r="E2572" s="1" t="s">
        <v>7</v>
      </c>
      <c r="F2572" s="1">
        <v>90181.0</v>
      </c>
    </row>
    <row r="2573">
      <c r="A2573" s="1">
        <v>2572.0</v>
      </c>
      <c r="B2573" s="1" t="s">
        <v>45</v>
      </c>
      <c r="C2573" s="1" t="s">
        <v>1623</v>
      </c>
      <c r="D2573" s="1">
        <v>1.0</v>
      </c>
      <c r="E2573" s="1" t="s">
        <v>7</v>
      </c>
      <c r="F2573" s="1">
        <v>55.0</v>
      </c>
    </row>
    <row r="2574">
      <c r="A2574" s="1">
        <v>2573.0</v>
      </c>
      <c r="B2574" s="1" t="s">
        <v>41</v>
      </c>
      <c r="C2574" s="1" t="s">
        <v>1623</v>
      </c>
      <c r="D2574" s="1">
        <v>1.0</v>
      </c>
      <c r="E2574" s="1" t="s">
        <v>7</v>
      </c>
      <c r="F2574" s="1">
        <v>5.0</v>
      </c>
    </row>
    <row r="2575">
      <c r="A2575" s="1">
        <v>2574.0</v>
      </c>
      <c r="B2575" s="1" t="s">
        <v>396</v>
      </c>
      <c r="C2575" s="1" t="s">
        <v>1623</v>
      </c>
      <c r="D2575" s="1">
        <v>1.0</v>
      </c>
      <c r="E2575" s="1" t="s">
        <v>7</v>
      </c>
      <c r="F2575" s="1">
        <v>724874.0</v>
      </c>
    </row>
    <row r="2576">
      <c r="A2576" s="1">
        <v>2575.0</v>
      </c>
      <c r="B2576" s="1" t="s">
        <v>239</v>
      </c>
      <c r="C2576" s="1" t="s">
        <v>1623</v>
      </c>
      <c r="D2576" s="1">
        <v>1.0</v>
      </c>
      <c r="E2576" s="1" t="s">
        <v>7</v>
      </c>
      <c r="F2576" s="1">
        <v>367041.0</v>
      </c>
    </row>
    <row r="2577">
      <c r="A2577" s="1">
        <v>2576.0</v>
      </c>
      <c r="B2577" s="1" t="s">
        <v>142</v>
      </c>
      <c r="C2577" s="1" t="s">
        <v>1623</v>
      </c>
      <c r="D2577" s="1">
        <v>1.0</v>
      </c>
      <c r="E2577" s="1" t="s">
        <v>7</v>
      </c>
      <c r="F2577" s="1">
        <v>1808790.0</v>
      </c>
    </row>
    <row r="2578">
      <c r="A2578" s="1">
        <v>2577.0</v>
      </c>
      <c r="B2578" s="1" t="s">
        <v>1641</v>
      </c>
      <c r="C2578" s="1" t="s">
        <v>1623</v>
      </c>
      <c r="D2578" s="1">
        <v>1.0</v>
      </c>
      <c r="E2578" s="1" t="s">
        <v>7</v>
      </c>
      <c r="F2578" s="1">
        <v>1944435.0</v>
      </c>
    </row>
    <row r="2579">
      <c r="A2579" s="1">
        <v>2578.0</v>
      </c>
      <c r="B2579" s="1" t="s">
        <v>177</v>
      </c>
      <c r="C2579" s="1" t="s">
        <v>1623</v>
      </c>
      <c r="D2579" s="1">
        <v>1.0</v>
      </c>
      <c r="E2579" s="1" t="s">
        <v>7</v>
      </c>
      <c r="F2579" s="1">
        <v>88502.0</v>
      </c>
    </row>
    <row r="2580">
      <c r="A2580" s="1">
        <v>2579.0</v>
      </c>
      <c r="B2580" s="1" t="s">
        <v>946</v>
      </c>
      <c r="C2580" s="1" t="s">
        <v>1623</v>
      </c>
      <c r="D2580" s="1">
        <v>1.0</v>
      </c>
      <c r="E2580" s="1" t="s">
        <v>7</v>
      </c>
      <c r="F2580" s="1">
        <v>23600.0</v>
      </c>
    </row>
    <row r="2581">
      <c r="A2581" s="1">
        <v>2580.0</v>
      </c>
      <c r="B2581" s="1" t="s">
        <v>182</v>
      </c>
      <c r="C2581" s="1" t="s">
        <v>1623</v>
      </c>
      <c r="D2581" s="1">
        <v>1.0</v>
      </c>
      <c r="E2581" s="1" t="s">
        <v>7</v>
      </c>
      <c r="F2581" s="1">
        <v>52.0</v>
      </c>
    </row>
    <row r="2582">
      <c r="A2582" s="1">
        <v>2581.0</v>
      </c>
      <c r="B2582" s="1" t="s">
        <v>50</v>
      </c>
      <c r="C2582" s="1" t="s">
        <v>1623</v>
      </c>
      <c r="D2582" s="1">
        <v>1.0</v>
      </c>
      <c r="E2582" s="1" t="s">
        <v>7</v>
      </c>
      <c r="F2582" s="1">
        <v>829471.0</v>
      </c>
    </row>
    <row r="2583">
      <c r="A2583" s="1">
        <v>2582.0</v>
      </c>
      <c r="B2583" s="1" t="s">
        <v>1520</v>
      </c>
      <c r="C2583" s="1" t="s">
        <v>1623</v>
      </c>
      <c r="D2583" s="1">
        <v>1.0</v>
      </c>
      <c r="E2583" s="1" t="s">
        <v>7</v>
      </c>
      <c r="F2583" s="1">
        <v>209602.0</v>
      </c>
    </row>
    <row r="2584">
      <c r="A2584" s="1">
        <v>2583.0</v>
      </c>
      <c r="B2584" s="1" t="s">
        <v>310</v>
      </c>
      <c r="C2584" s="1" t="s">
        <v>1623</v>
      </c>
      <c r="D2584" s="1">
        <v>1.0</v>
      </c>
      <c r="E2584" s="1" t="s">
        <v>7</v>
      </c>
      <c r="F2584" s="1">
        <v>847963.0</v>
      </c>
    </row>
    <row r="2585">
      <c r="A2585" s="1">
        <v>2584.0</v>
      </c>
      <c r="B2585" s="1" t="s">
        <v>1642</v>
      </c>
      <c r="C2585" s="1" t="s">
        <v>1623</v>
      </c>
      <c r="D2585" s="1">
        <v>1.0</v>
      </c>
      <c r="E2585" s="1" t="s">
        <v>7</v>
      </c>
      <c r="F2585" s="1">
        <v>37964.0</v>
      </c>
    </row>
    <row r="2586">
      <c r="A2586" s="1">
        <v>2585.0</v>
      </c>
      <c r="B2586" s="1" t="s">
        <v>324</v>
      </c>
      <c r="C2586" s="1" t="s">
        <v>1623</v>
      </c>
      <c r="D2586" s="1">
        <v>1.0</v>
      </c>
      <c r="E2586" s="1" t="s">
        <v>7</v>
      </c>
      <c r="F2586" s="1">
        <v>113.0</v>
      </c>
    </row>
    <row r="2587">
      <c r="A2587" s="1">
        <v>2586.0</v>
      </c>
      <c r="B2587" s="1" t="s">
        <v>460</v>
      </c>
      <c r="C2587" s="1" t="s">
        <v>1623</v>
      </c>
      <c r="D2587" s="1">
        <v>1.0</v>
      </c>
      <c r="E2587" s="1" t="s">
        <v>7</v>
      </c>
      <c r="F2587" s="1">
        <v>419876.0</v>
      </c>
    </row>
    <row r="2588">
      <c r="A2588" s="1">
        <v>2587.0</v>
      </c>
      <c r="B2588" s="1" t="s">
        <v>1643</v>
      </c>
      <c r="C2588" s="1" t="s">
        <v>1623</v>
      </c>
      <c r="D2588" s="1">
        <v>1.0</v>
      </c>
      <c r="E2588" s="1" t="s">
        <v>7</v>
      </c>
      <c r="F2588" s="1">
        <v>316741.0</v>
      </c>
    </row>
    <row r="2589">
      <c r="A2589" s="1">
        <v>2588.0</v>
      </c>
      <c r="B2589" s="1" t="s">
        <v>130</v>
      </c>
      <c r="C2589" s="1" t="s">
        <v>1623</v>
      </c>
      <c r="D2589" s="1">
        <v>1.0</v>
      </c>
      <c r="E2589" s="1" t="s">
        <v>7</v>
      </c>
      <c r="F2589" s="1">
        <v>1066487.0</v>
      </c>
    </row>
    <row r="2590">
      <c r="A2590" s="1">
        <v>2589.0</v>
      </c>
      <c r="B2590" s="1" t="s">
        <v>1644</v>
      </c>
      <c r="C2590" s="1" t="s">
        <v>1623</v>
      </c>
      <c r="D2590" s="1">
        <v>1.0</v>
      </c>
      <c r="E2590" s="1" t="s">
        <v>7</v>
      </c>
      <c r="F2590" s="1">
        <v>2110256.0</v>
      </c>
    </row>
    <row r="2591">
      <c r="A2591" s="1">
        <v>2590.0</v>
      </c>
      <c r="B2591" s="1" t="s">
        <v>1430</v>
      </c>
      <c r="C2591" s="1" t="s">
        <v>1623</v>
      </c>
      <c r="D2591" s="1">
        <v>1.0</v>
      </c>
      <c r="E2591" s="1" t="s">
        <v>7</v>
      </c>
      <c r="F2591" s="1">
        <v>40293.0</v>
      </c>
    </row>
    <row r="2592">
      <c r="A2592" s="1">
        <v>2591.0</v>
      </c>
      <c r="B2592" s="1" t="s">
        <v>1645</v>
      </c>
      <c r="C2592" s="1" t="s">
        <v>1623</v>
      </c>
      <c r="D2592" s="1">
        <v>1.0</v>
      </c>
      <c r="E2592" s="1" t="s">
        <v>7</v>
      </c>
      <c r="F2592" s="1">
        <v>22.0</v>
      </c>
    </row>
    <row r="2593">
      <c r="A2593" s="1">
        <v>2592.0</v>
      </c>
      <c r="B2593" s="1" t="s">
        <v>1646</v>
      </c>
      <c r="C2593" s="1" t="s">
        <v>1623</v>
      </c>
      <c r="D2593" s="1">
        <v>1.0</v>
      </c>
      <c r="E2593" s="1" t="s">
        <v>7</v>
      </c>
      <c r="F2593" s="1">
        <v>1627026.0</v>
      </c>
    </row>
    <row r="2594">
      <c r="A2594" s="1">
        <v>2593.0</v>
      </c>
      <c r="B2594" s="1" t="s">
        <v>1647</v>
      </c>
      <c r="C2594" s="1" t="s">
        <v>1623</v>
      </c>
      <c r="D2594" s="1">
        <v>1.0</v>
      </c>
      <c r="E2594" s="1" t="s">
        <v>7</v>
      </c>
      <c r="F2594" s="1">
        <v>504.0</v>
      </c>
    </row>
    <row r="2595">
      <c r="A2595" s="1">
        <v>2594.0</v>
      </c>
      <c r="B2595" s="1" t="s">
        <v>1648</v>
      </c>
      <c r="C2595" s="1" t="s">
        <v>1623</v>
      </c>
      <c r="D2595" s="1">
        <v>1.0</v>
      </c>
      <c r="E2595" s="1" t="s">
        <v>7</v>
      </c>
      <c r="F2595" s="1">
        <v>5.0</v>
      </c>
    </row>
    <row r="2596">
      <c r="A2596" s="1">
        <v>2595.0</v>
      </c>
      <c r="B2596" s="1" t="s">
        <v>1649</v>
      </c>
      <c r="C2596" s="1" t="s">
        <v>1623</v>
      </c>
      <c r="D2596" s="1">
        <v>1.0</v>
      </c>
      <c r="E2596" s="1" t="s">
        <v>7</v>
      </c>
      <c r="F2596" s="1">
        <v>48.0</v>
      </c>
    </row>
    <row r="2597">
      <c r="A2597" s="1">
        <v>2596.0</v>
      </c>
      <c r="B2597" s="1" t="s">
        <v>1650</v>
      </c>
      <c r="C2597" s="1" t="s">
        <v>1623</v>
      </c>
      <c r="D2597" s="1">
        <v>1.0</v>
      </c>
      <c r="E2597" s="1" t="s">
        <v>7</v>
      </c>
      <c r="F2597" s="1">
        <v>32442.0</v>
      </c>
    </row>
    <row r="2598">
      <c r="A2598" s="1">
        <v>2597.0</v>
      </c>
      <c r="B2598" s="1" t="s">
        <v>1651</v>
      </c>
      <c r="C2598" s="1" t="s">
        <v>1623</v>
      </c>
      <c r="D2598" s="1">
        <v>1.0</v>
      </c>
      <c r="E2598" s="1" t="s">
        <v>7</v>
      </c>
      <c r="F2598" s="1">
        <v>436144.0</v>
      </c>
    </row>
    <row r="2599">
      <c r="A2599" s="1">
        <v>2598.0</v>
      </c>
      <c r="B2599" s="1" t="s">
        <v>1652</v>
      </c>
      <c r="C2599" s="1" t="s">
        <v>1623</v>
      </c>
      <c r="D2599" s="1">
        <v>1.0</v>
      </c>
      <c r="E2599" s="1" t="s">
        <v>7</v>
      </c>
      <c r="F2599" s="1">
        <v>652071.0</v>
      </c>
    </row>
    <row r="2600">
      <c r="A2600" s="1">
        <v>2599.0</v>
      </c>
      <c r="B2600" s="1" t="s">
        <v>1653</v>
      </c>
      <c r="C2600" s="1" t="s">
        <v>1623</v>
      </c>
      <c r="D2600" s="1">
        <v>1.0</v>
      </c>
      <c r="E2600" s="1" t="s">
        <v>7</v>
      </c>
      <c r="F2600" s="1">
        <v>82.0</v>
      </c>
    </row>
    <row r="2601">
      <c r="A2601" s="1">
        <v>2600.0</v>
      </c>
      <c r="B2601" s="1" t="s">
        <v>1654</v>
      </c>
      <c r="C2601" s="1" t="s">
        <v>1623</v>
      </c>
      <c r="D2601" s="1">
        <v>1.0</v>
      </c>
      <c r="E2601" s="1" t="s">
        <v>7</v>
      </c>
      <c r="F2601" s="1">
        <v>11856.0</v>
      </c>
    </row>
    <row r="2602">
      <c r="A2602" s="1">
        <v>2601.0</v>
      </c>
      <c r="B2602" s="1" t="s">
        <v>1655</v>
      </c>
      <c r="C2602" s="1" t="s">
        <v>1623</v>
      </c>
      <c r="D2602" s="1">
        <v>1.0</v>
      </c>
      <c r="E2602" s="1" t="s">
        <v>7</v>
      </c>
      <c r="F2602" s="1">
        <v>105.0</v>
      </c>
    </row>
    <row r="2603">
      <c r="A2603" s="1">
        <v>2602.0</v>
      </c>
      <c r="B2603" s="1" t="s">
        <v>1656</v>
      </c>
      <c r="C2603" s="1" t="s">
        <v>1623</v>
      </c>
      <c r="D2603" s="1">
        <v>1.0</v>
      </c>
      <c r="E2603" s="1" t="s">
        <v>7</v>
      </c>
      <c r="F2603" s="1">
        <v>63725.0</v>
      </c>
    </row>
    <row r="2604">
      <c r="A2604" s="1">
        <v>2603.0</v>
      </c>
      <c r="B2604" s="5" t="s">
        <v>1657</v>
      </c>
      <c r="C2604" s="1" t="s">
        <v>1623</v>
      </c>
      <c r="D2604" s="1">
        <v>1.0</v>
      </c>
      <c r="E2604" s="1" t="s">
        <v>7</v>
      </c>
      <c r="F2604" s="1">
        <v>650810.0</v>
      </c>
    </row>
    <row r="2605">
      <c r="A2605" s="1">
        <v>2604.0</v>
      </c>
      <c r="B2605" s="5" t="s">
        <v>1658</v>
      </c>
      <c r="C2605" s="1" t="s">
        <v>1623</v>
      </c>
      <c r="D2605" s="1">
        <v>1.0</v>
      </c>
      <c r="E2605" s="1" t="s">
        <v>7</v>
      </c>
      <c r="F2605" s="1">
        <v>1812949.0</v>
      </c>
    </row>
    <row r="2606">
      <c r="A2606" s="1">
        <v>2605.0</v>
      </c>
      <c r="B2606" s="1" t="s">
        <v>1659</v>
      </c>
      <c r="C2606" s="1" t="s">
        <v>1623</v>
      </c>
      <c r="D2606" s="1">
        <v>1.0</v>
      </c>
      <c r="E2606" s="1" t="s">
        <v>7</v>
      </c>
      <c r="F2606" s="1">
        <v>91365.0</v>
      </c>
    </row>
    <row r="2607">
      <c r="A2607" s="1">
        <v>2606.0</v>
      </c>
      <c r="B2607" s="1" t="s">
        <v>1377</v>
      </c>
      <c r="C2607" s="1" t="s">
        <v>1623</v>
      </c>
      <c r="D2607" s="1">
        <v>1.0</v>
      </c>
      <c r="E2607" s="1" t="s">
        <v>7</v>
      </c>
      <c r="F2607" s="1">
        <v>21628.0</v>
      </c>
    </row>
    <row r="2608">
      <c r="A2608" s="1">
        <v>2607.0</v>
      </c>
      <c r="B2608" s="1" t="s">
        <v>1660</v>
      </c>
      <c r="C2608" s="1" t="s">
        <v>1623</v>
      </c>
      <c r="D2608" s="1">
        <v>1.0</v>
      </c>
      <c r="E2608" s="1" t="s">
        <v>7</v>
      </c>
      <c r="F2608" s="1">
        <v>309.0</v>
      </c>
    </row>
    <row r="2609">
      <c r="A2609" s="1">
        <v>2608.0</v>
      </c>
      <c r="B2609" s="5" t="s">
        <v>1661</v>
      </c>
      <c r="C2609" s="1" t="s">
        <v>1623</v>
      </c>
      <c r="D2609" s="1">
        <v>1.0</v>
      </c>
      <c r="E2609" s="1" t="s">
        <v>7</v>
      </c>
      <c r="F2609" s="1">
        <v>62.0</v>
      </c>
    </row>
    <row r="2610">
      <c r="A2610" s="1">
        <v>2609.0</v>
      </c>
      <c r="B2610" s="1" t="s">
        <v>1662</v>
      </c>
      <c r="C2610" s="1" t="s">
        <v>1623</v>
      </c>
      <c r="D2610" s="1">
        <v>1.0</v>
      </c>
      <c r="E2610" s="1" t="s">
        <v>7</v>
      </c>
      <c r="F2610" s="1">
        <v>1358294.0</v>
      </c>
    </row>
    <row r="2611">
      <c r="A2611" s="1">
        <v>2610.0</v>
      </c>
      <c r="B2611" s="1" t="s">
        <v>1663</v>
      </c>
      <c r="C2611" s="1" t="s">
        <v>1623</v>
      </c>
      <c r="D2611" s="1">
        <v>1.0</v>
      </c>
      <c r="E2611" s="1" t="s">
        <v>7</v>
      </c>
      <c r="F2611" s="1">
        <v>4.0</v>
      </c>
    </row>
    <row r="2612">
      <c r="A2612" s="1">
        <v>2611.0</v>
      </c>
      <c r="B2612" s="1" t="s">
        <v>363</v>
      </c>
      <c r="C2612" s="1" t="s">
        <v>1623</v>
      </c>
      <c r="D2612" s="1">
        <v>1.0</v>
      </c>
      <c r="E2612" s="1" t="s">
        <v>7</v>
      </c>
      <c r="F2612" s="1">
        <v>1298703.0</v>
      </c>
    </row>
    <row r="2613">
      <c r="A2613" s="1">
        <v>2612.0</v>
      </c>
      <c r="B2613" s="1" t="s">
        <v>1664</v>
      </c>
      <c r="C2613" s="1" t="s">
        <v>1623</v>
      </c>
      <c r="D2613" s="1">
        <v>1.0</v>
      </c>
      <c r="E2613" s="1" t="s">
        <v>7</v>
      </c>
      <c r="F2613" s="1">
        <v>1257613.0</v>
      </c>
    </row>
    <row r="2614">
      <c r="A2614" s="1">
        <v>2613.0</v>
      </c>
      <c r="B2614" s="1" t="s">
        <v>1665</v>
      </c>
      <c r="C2614" s="1" t="s">
        <v>1623</v>
      </c>
      <c r="D2614" s="1">
        <v>1.0</v>
      </c>
      <c r="E2614" s="1" t="s">
        <v>7</v>
      </c>
      <c r="F2614" s="1">
        <v>236.0</v>
      </c>
    </row>
    <row r="2615">
      <c r="A2615" s="1">
        <v>2614.0</v>
      </c>
      <c r="B2615" s="1" t="s">
        <v>1666</v>
      </c>
      <c r="C2615" s="1" t="s">
        <v>1623</v>
      </c>
      <c r="D2615" s="1">
        <v>1.0</v>
      </c>
      <c r="E2615" s="1" t="s">
        <v>7</v>
      </c>
      <c r="F2615" s="1">
        <v>561.0</v>
      </c>
    </row>
    <row r="2616">
      <c r="A2616" s="1">
        <v>2615.0</v>
      </c>
      <c r="B2616" s="1" t="s">
        <v>1667</v>
      </c>
      <c r="C2616" s="1" t="s">
        <v>1623</v>
      </c>
      <c r="D2616" s="1">
        <v>1.0</v>
      </c>
      <c r="E2616" s="1" t="s">
        <v>7</v>
      </c>
      <c r="F2616" s="1">
        <v>1422701.0</v>
      </c>
    </row>
    <row r="2617">
      <c r="A2617" s="1">
        <v>2616.0</v>
      </c>
      <c r="B2617" s="1" t="s">
        <v>1668</v>
      </c>
      <c r="C2617" s="1" t="s">
        <v>1623</v>
      </c>
      <c r="D2617" s="1">
        <v>1.0</v>
      </c>
      <c r="E2617" s="1" t="s">
        <v>7</v>
      </c>
      <c r="F2617" s="1">
        <v>993325.0</v>
      </c>
    </row>
    <row r="2618">
      <c r="A2618" s="1">
        <v>2617.0</v>
      </c>
      <c r="B2618" s="1" t="s">
        <v>1669</v>
      </c>
      <c r="C2618" s="1" t="s">
        <v>1623</v>
      </c>
      <c r="D2618" s="1">
        <v>1.0</v>
      </c>
      <c r="E2618" s="1" t="s">
        <v>7</v>
      </c>
      <c r="F2618" s="1">
        <v>8110.0</v>
      </c>
    </row>
    <row r="2619">
      <c r="A2619" s="1">
        <v>2618.0</v>
      </c>
      <c r="B2619" s="1" t="s">
        <v>1670</v>
      </c>
      <c r="C2619" s="1" t="s">
        <v>1623</v>
      </c>
      <c r="D2619" s="1">
        <v>1.0</v>
      </c>
      <c r="E2619" s="1" t="s">
        <v>7</v>
      </c>
      <c r="F2619" s="1">
        <v>37836.0</v>
      </c>
    </row>
    <row r="2620">
      <c r="A2620" s="1">
        <v>2619.0</v>
      </c>
      <c r="B2620" s="1" t="s">
        <v>1671</v>
      </c>
      <c r="C2620" s="1" t="s">
        <v>1623</v>
      </c>
      <c r="D2620" s="1">
        <v>1.0</v>
      </c>
      <c r="E2620" s="1" t="s">
        <v>7</v>
      </c>
      <c r="F2620" s="1">
        <v>240000.0</v>
      </c>
    </row>
    <row r="2621">
      <c r="A2621" s="1">
        <v>2620.0</v>
      </c>
      <c r="B2621" s="1" t="s">
        <v>1672</v>
      </c>
      <c r="C2621" s="1" t="s">
        <v>1623</v>
      </c>
      <c r="D2621" s="1">
        <v>1.0</v>
      </c>
      <c r="E2621" s="1" t="s">
        <v>7</v>
      </c>
      <c r="F2621" s="1">
        <v>988892.0</v>
      </c>
    </row>
    <row r="2622">
      <c r="A2622" s="1">
        <v>2621.0</v>
      </c>
      <c r="B2622" s="1" t="s">
        <v>437</v>
      </c>
      <c r="C2622" s="1" t="s">
        <v>1623</v>
      </c>
      <c r="D2622" s="1">
        <v>1.0</v>
      </c>
      <c r="E2622" s="1" t="s">
        <v>7</v>
      </c>
      <c r="F2622" s="1">
        <v>39851.0</v>
      </c>
    </row>
    <row r="2623">
      <c r="A2623" s="1">
        <v>2622.0</v>
      </c>
      <c r="B2623" s="1" t="s">
        <v>1673</v>
      </c>
      <c r="C2623" s="1" t="s">
        <v>1623</v>
      </c>
      <c r="D2623" s="1">
        <v>1.0</v>
      </c>
      <c r="E2623" s="1" t="s">
        <v>7</v>
      </c>
      <c r="F2623" s="1">
        <v>68.0</v>
      </c>
    </row>
    <row r="2624">
      <c r="A2624" s="1">
        <v>2623.0</v>
      </c>
      <c r="B2624" s="1" t="s">
        <v>1674</v>
      </c>
      <c r="C2624" s="1" t="s">
        <v>1623</v>
      </c>
      <c r="D2624" s="1">
        <v>1.0</v>
      </c>
      <c r="E2624" s="1" t="s">
        <v>7</v>
      </c>
      <c r="F2624" s="1">
        <v>17.0</v>
      </c>
    </row>
    <row r="2625">
      <c r="A2625" s="1">
        <v>2624.0</v>
      </c>
      <c r="B2625" s="1" t="s">
        <v>1675</v>
      </c>
      <c r="C2625" s="1" t="s">
        <v>1623</v>
      </c>
      <c r="D2625" s="1">
        <v>1.0</v>
      </c>
      <c r="E2625" s="1" t="s">
        <v>7</v>
      </c>
      <c r="F2625" s="1">
        <v>503156.0</v>
      </c>
    </row>
    <row r="2626">
      <c r="A2626" s="1">
        <v>2625.0</v>
      </c>
      <c r="B2626" s="1" t="s">
        <v>1676</v>
      </c>
      <c r="C2626" s="1" t="s">
        <v>1623</v>
      </c>
      <c r="D2626" s="1">
        <v>1.0</v>
      </c>
      <c r="E2626" s="1" t="s">
        <v>7</v>
      </c>
      <c r="F2626" s="1">
        <v>2579145.0</v>
      </c>
    </row>
    <row r="2627">
      <c r="A2627" s="1">
        <v>2626.0</v>
      </c>
      <c r="B2627" s="1" t="s">
        <v>1677</v>
      </c>
      <c r="C2627" s="1" t="s">
        <v>1623</v>
      </c>
      <c r="D2627" s="1">
        <v>1.0</v>
      </c>
      <c r="E2627" s="1" t="s">
        <v>7</v>
      </c>
      <c r="F2627" s="1">
        <v>2954147.0</v>
      </c>
    </row>
    <row r="2628">
      <c r="A2628" s="1">
        <v>2627.0</v>
      </c>
      <c r="B2628" s="1" t="s">
        <v>1678</v>
      </c>
      <c r="C2628" s="1" t="s">
        <v>1623</v>
      </c>
      <c r="D2628" s="1">
        <v>1.0</v>
      </c>
      <c r="E2628" s="1" t="s">
        <v>7</v>
      </c>
      <c r="F2628" s="1">
        <v>360000.0</v>
      </c>
    </row>
    <row r="2629">
      <c r="A2629" s="1">
        <v>2628.0</v>
      </c>
      <c r="B2629" s="1" t="s">
        <v>1679</v>
      </c>
      <c r="C2629" s="1" t="s">
        <v>1623</v>
      </c>
      <c r="D2629" s="1">
        <v>1.0</v>
      </c>
      <c r="E2629" s="1" t="s">
        <v>7</v>
      </c>
      <c r="F2629" s="1">
        <v>123612.0</v>
      </c>
    </row>
    <row r="2630">
      <c r="A2630" s="1">
        <v>2629.0</v>
      </c>
      <c r="B2630" s="1" t="s">
        <v>1680</v>
      </c>
      <c r="C2630" s="1" t="s">
        <v>1623</v>
      </c>
      <c r="D2630" s="1">
        <v>1.0</v>
      </c>
      <c r="E2630" s="1" t="s">
        <v>7</v>
      </c>
      <c r="F2630" s="1">
        <v>7905.0</v>
      </c>
    </row>
    <row r="2631">
      <c r="A2631" s="1">
        <v>2630.0</v>
      </c>
      <c r="B2631" s="1" t="s">
        <v>1681</v>
      </c>
      <c r="C2631" s="1" t="s">
        <v>1623</v>
      </c>
      <c r="D2631" s="1">
        <v>1.0</v>
      </c>
      <c r="E2631" s="1" t="s">
        <v>7</v>
      </c>
      <c r="F2631" s="1">
        <v>719.0</v>
      </c>
    </row>
    <row r="2632">
      <c r="A2632" s="1">
        <v>2631.0</v>
      </c>
      <c r="B2632" s="1" t="s">
        <v>1682</v>
      </c>
      <c r="C2632" s="1" t="s">
        <v>1623</v>
      </c>
      <c r="D2632" s="1">
        <v>1.0</v>
      </c>
      <c r="E2632" s="1" t="s">
        <v>7</v>
      </c>
      <c r="F2632" s="1">
        <v>107488.0</v>
      </c>
    </row>
    <row r="2633">
      <c r="A2633" s="1">
        <v>2632.0</v>
      </c>
      <c r="B2633" s="1" t="s">
        <v>1683</v>
      </c>
      <c r="C2633" s="1" t="s">
        <v>1623</v>
      </c>
      <c r="D2633" s="1">
        <v>1.0</v>
      </c>
      <c r="E2633" s="1" t="s">
        <v>7</v>
      </c>
      <c r="F2633" s="1">
        <v>2545237.0</v>
      </c>
    </row>
    <row r="2634">
      <c r="A2634" s="1">
        <v>2633.0</v>
      </c>
      <c r="B2634" s="1" t="s">
        <v>1684</v>
      </c>
      <c r="C2634" s="1" t="s">
        <v>1623</v>
      </c>
      <c r="D2634" s="1">
        <v>1.0</v>
      </c>
      <c r="E2634" s="1" t="s">
        <v>7</v>
      </c>
      <c r="F2634" s="1">
        <v>13552.0</v>
      </c>
    </row>
    <row r="2635">
      <c r="A2635" s="1">
        <v>2634.0</v>
      </c>
      <c r="B2635" s="1" t="s">
        <v>1685</v>
      </c>
      <c r="C2635" s="1" t="s">
        <v>1623</v>
      </c>
      <c r="D2635" s="1">
        <v>1.0</v>
      </c>
      <c r="E2635" s="1" t="s">
        <v>7</v>
      </c>
      <c r="F2635" s="1">
        <v>2149765.0</v>
      </c>
    </row>
    <row r="2636">
      <c r="A2636" s="1">
        <v>2635.0</v>
      </c>
      <c r="B2636" s="1" t="s">
        <v>1686</v>
      </c>
      <c r="C2636" s="1" t="s">
        <v>1623</v>
      </c>
      <c r="D2636" s="1">
        <v>1.0</v>
      </c>
      <c r="E2636" s="1" t="s">
        <v>7</v>
      </c>
      <c r="F2636" s="1">
        <v>301465.0</v>
      </c>
    </row>
    <row r="2637">
      <c r="A2637" s="1">
        <v>2636.0</v>
      </c>
      <c r="B2637" s="1" t="s">
        <v>1687</v>
      </c>
      <c r="C2637" s="1" t="s">
        <v>1623</v>
      </c>
      <c r="D2637" s="1">
        <v>1.0</v>
      </c>
      <c r="E2637" s="1" t="s">
        <v>7</v>
      </c>
      <c r="F2637" s="1">
        <v>19004.0</v>
      </c>
    </row>
    <row r="2638">
      <c r="A2638" s="1">
        <v>2637.0</v>
      </c>
      <c r="B2638" s="1" t="s">
        <v>1688</v>
      </c>
      <c r="C2638" s="1" t="s">
        <v>1623</v>
      </c>
      <c r="D2638" s="1">
        <v>1.0</v>
      </c>
      <c r="E2638" s="1" t="s">
        <v>7</v>
      </c>
      <c r="F2638" s="1">
        <v>73872.0</v>
      </c>
    </row>
    <row r="2639">
      <c r="A2639" s="1">
        <v>2638.0</v>
      </c>
      <c r="B2639" s="1" t="s">
        <v>1689</v>
      </c>
      <c r="C2639" s="1" t="s">
        <v>1623</v>
      </c>
      <c r="D2639" s="1">
        <v>1.0</v>
      </c>
      <c r="E2639" s="1" t="s">
        <v>7</v>
      </c>
      <c r="F2639" s="1">
        <v>17.0</v>
      </c>
    </row>
    <row r="2640">
      <c r="A2640" s="1">
        <v>2639.0</v>
      </c>
      <c r="B2640" s="1" t="s">
        <v>1690</v>
      </c>
      <c r="C2640" s="1" t="s">
        <v>1623</v>
      </c>
      <c r="D2640" s="1">
        <v>1.0</v>
      </c>
      <c r="E2640" s="1" t="s">
        <v>7</v>
      </c>
      <c r="F2640" s="1">
        <v>58069.0</v>
      </c>
    </row>
    <row r="2641">
      <c r="A2641" s="1">
        <v>2640.0</v>
      </c>
      <c r="B2641" s="1" t="s">
        <v>1691</v>
      </c>
      <c r="C2641" s="1" t="s">
        <v>1623</v>
      </c>
      <c r="D2641" s="1">
        <v>1.0</v>
      </c>
      <c r="E2641" s="1" t="s">
        <v>7</v>
      </c>
      <c r="F2641" s="1">
        <v>1450359.0</v>
      </c>
    </row>
    <row r="2642">
      <c r="A2642" s="1">
        <v>2641.0</v>
      </c>
      <c r="B2642" s="1" t="s">
        <v>1692</v>
      </c>
      <c r="C2642" s="1" t="s">
        <v>1623</v>
      </c>
      <c r="D2642" s="1">
        <v>1.0</v>
      </c>
      <c r="E2642" s="1" t="s">
        <v>7</v>
      </c>
      <c r="F2642" s="1">
        <v>631710.0</v>
      </c>
    </row>
    <row r="2643">
      <c r="A2643" s="1">
        <v>2642.0</v>
      </c>
      <c r="B2643" s="1" t="s">
        <v>1693</v>
      </c>
      <c r="C2643" s="1" t="s">
        <v>1623</v>
      </c>
      <c r="D2643" s="1">
        <v>1.0</v>
      </c>
      <c r="E2643" s="1" t="s">
        <v>7</v>
      </c>
      <c r="F2643" s="1">
        <v>119.0</v>
      </c>
    </row>
    <row r="2644">
      <c r="A2644" s="1">
        <v>2643.0</v>
      </c>
      <c r="B2644" s="1" t="s">
        <v>1694</v>
      </c>
      <c r="C2644" s="1" t="s">
        <v>1623</v>
      </c>
      <c r="D2644" s="1">
        <v>1.0</v>
      </c>
      <c r="E2644" s="1" t="s">
        <v>7</v>
      </c>
      <c r="F2644" s="1">
        <v>73.0</v>
      </c>
    </row>
    <row r="2645">
      <c r="A2645" s="1">
        <v>2644.0</v>
      </c>
      <c r="B2645" s="1" t="s">
        <v>1695</v>
      </c>
      <c r="C2645" s="1" t="s">
        <v>1623</v>
      </c>
      <c r="D2645" s="1">
        <v>1.0</v>
      </c>
      <c r="E2645" s="1" t="s">
        <v>7</v>
      </c>
      <c r="F2645" s="1">
        <v>100733.0</v>
      </c>
    </row>
    <row r="2646">
      <c r="A2646" s="1">
        <v>2645.0</v>
      </c>
      <c r="B2646" s="1" t="s">
        <v>1696</v>
      </c>
      <c r="C2646" s="1" t="s">
        <v>1623</v>
      </c>
      <c r="D2646" s="1">
        <v>1.0</v>
      </c>
      <c r="E2646" s="1" t="s">
        <v>7</v>
      </c>
      <c r="F2646" s="1">
        <v>892153.0</v>
      </c>
    </row>
    <row r="2647">
      <c r="A2647" s="1">
        <v>2646.0</v>
      </c>
      <c r="B2647" s="1" t="s">
        <v>1697</v>
      </c>
      <c r="C2647" s="1" t="s">
        <v>1623</v>
      </c>
      <c r="D2647" s="1">
        <v>1.0</v>
      </c>
      <c r="E2647" s="1" t="s">
        <v>7</v>
      </c>
      <c r="F2647" s="1">
        <v>10558.0</v>
      </c>
    </row>
    <row r="2648">
      <c r="A2648" s="1">
        <v>2647.0</v>
      </c>
      <c r="B2648" s="1" t="s">
        <v>1698</v>
      </c>
      <c r="C2648" s="1" t="s">
        <v>1623</v>
      </c>
      <c r="D2648" s="1">
        <v>1.0</v>
      </c>
      <c r="E2648" s="1" t="s">
        <v>7</v>
      </c>
      <c r="F2648" s="1">
        <v>547.0</v>
      </c>
    </row>
    <row r="2649">
      <c r="A2649" s="1">
        <v>2648.0</v>
      </c>
      <c r="B2649" s="1" t="s">
        <v>1699</v>
      </c>
      <c r="C2649" s="1" t="s">
        <v>1623</v>
      </c>
      <c r="D2649" s="1">
        <v>1.0</v>
      </c>
      <c r="E2649" s="1" t="s">
        <v>7</v>
      </c>
      <c r="F2649" s="1">
        <v>2794695.0</v>
      </c>
    </row>
    <row r="2650">
      <c r="A2650" s="1">
        <v>2649.0</v>
      </c>
      <c r="B2650" s="1" t="s">
        <v>1700</v>
      </c>
      <c r="C2650" s="1" t="s">
        <v>1623</v>
      </c>
      <c r="D2650" s="1">
        <v>1.0</v>
      </c>
      <c r="E2650" s="1" t="s">
        <v>7</v>
      </c>
      <c r="F2650" s="1">
        <v>42000.0</v>
      </c>
    </row>
    <row r="2651">
      <c r="A2651" s="1">
        <v>2650.0</v>
      </c>
      <c r="B2651" s="1" t="s">
        <v>9</v>
      </c>
      <c r="C2651" s="1" t="s">
        <v>1623</v>
      </c>
      <c r="D2651" s="1">
        <v>7.0</v>
      </c>
      <c r="E2651" s="1" t="s">
        <v>614</v>
      </c>
      <c r="F2651" s="1">
        <v>440139.0</v>
      </c>
    </row>
    <row r="2652">
      <c r="A2652" s="1">
        <v>2651.0</v>
      </c>
      <c r="B2652" s="1" t="s">
        <v>612</v>
      </c>
      <c r="C2652" s="1" t="s">
        <v>1623</v>
      </c>
      <c r="D2652" s="1">
        <v>3.0</v>
      </c>
      <c r="E2652" s="1" t="s">
        <v>614</v>
      </c>
      <c r="F2652" s="1">
        <v>56.0</v>
      </c>
    </row>
    <row r="2653">
      <c r="A2653" s="1">
        <v>2652.0</v>
      </c>
      <c r="B2653" s="1" t="s">
        <v>12</v>
      </c>
      <c r="C2653" s="1" t="s">
        <v>1623</v>
      </c>
      <c r="D2653" s="1">
        <v>2.0</v>
      </c>
      <c r="E2653" s="1" t="s">
        <v>614</v>
      </c>
      <c r="F2653" s="1">
        <v>495280.0</v>
      </c>
    </row>
    <row r="2654">
      <c r="A2654" s="1">
        <v>2653.0</v>
      </c>
      <c r="B2654" s="1" t="s">
        <v>176</v>
      </c>
      <c r="C2654" s="1" t="s">
        <v>1623</v>
      </c>
      <c r="D2654" s="1">
        <v>2.0</v>
      </c>
      <c r="E2654" s="1" t="s">
        <v>614</v>
      </c>
      <c r="F2654" s="1">
        <v>43000.0</v>
      </c>
    </row>
    <row r="2655">
      <c r="A2655" s="1">
        <v>2654.0</v>
      </c>
      <c r="B2655" s="1" t="s">
        <v>629</v>
      </c>
      <c r="C2655" s="1" t="s">
        <v>1623</v>
      </c>
      <c r="D2655" s="1">
        <v>2.0</v>
      </c>
      <c r="E2655" s="1" t="s">
        <v>614</v>
      </c>
      <c r="F2655" s="1">
        <v>2050654.0</v>
      </c>
    </row>
    <row r="2656">
      <c r="A2656" s="1">
        <v>2655.0</v>
      </c>
      <c r="B2656" s="1" t="s">
        <v>626</v>
      </c>
      <c r="C2656" s="1" t="s">
        <v>1623</v>
      </c>
      <c r="D2656" s="1">
        <v>2.0</v>
      </c>
      <c r="E2656" s="1" t="s">
        <v>614</v>
      </c>
      <c r="F2656" s="1">
        <v>1444930.0</v>
      </c>
    </row>
    <row r="2657">
      <c r="A2657" s="1">
        <v>2656.0</v>
      </c>
      <c r="B2657" s="1" t="s">
        <v>651</v>
      </c>
      <c r="C2657" s="1" t="s">
        <v>1623</v>
      </c>
      <c r="D2657" s="1">
        <v>2.0</v>
      </c>
      <c r="E2657" s="1" t="s">
        <v>614</v>
      </c>
      <c r="F2657" s="1">
        <v>31428.0</v>
      </c>
    </row>
    <row r="2658">
      <c r="A2658" s="1">
        <v>2657.0</v>
      </c>
      <c r="B2658" s="1" t="s">
        <v>176</v>
      </c>
      <c r="C2658" s="1" t="s">
        <v>1623</v>
      </c>
      <c r="D2658" s="1">
        <v>1.0</v>
      </c>
      <c r="E2658" s="1" t="s">
        <v>614</v>
      </c>
      <c r="F2658" s="1">
        <v>171523.0</v>
      </c>
    </row>
    <row r="2659">
      <c r="A2659" s="1">
        <v>2658.0</v>
      </c>
      <c r="B2659" s="1" t="s">
        <v>581</v>
      </c>
      <c r="C2659" s="1" t="s">
        <v>1623</v>
      </c>
      <c r="D2659" s="1">
        <v>1.0</v>
      </c>
      <c r="E2659" s="1" t="s">
        <v>614</v>
      </c>
      <c r="F2659" s="1">
        <v>206676.0</v>
      </c>
    </row>
    <row r="2660">
      <c r="A2660" s="1">
        <v>2659.0</v>
      </c>
      <c r="B2660" s="1" t="s">
        <v>40</v>
      </c>
      <c r="C2660" s="1" t="s">
        <v>1623</v>
      </c>
      <c r="D2660" s="1">
        <v>1.0</v>
      </c>
      <c r="E2660" s="1" t="s">
        <v>614</v>
      </c>
      <c r="F2660" s="1">
        <v>85843.0</v>
      </c>
    </row>
    <row r="2661">
      <c r="A2661" s="1">
        <v>2660.0</v>
      </c>
      <c r="B2661" s="1" t="s">
        <v>1701</v>
      </c>
      <c r="C2661" s="1" t="s">
        <v>1623</v>
      </c>
      <c r="D2661" s="1">
        <v>1.0</v>
      </c>
      <c r="E2661" s="1" t="s">
        <v>614</v>
      </c>
      <c r="F2661" s="1">
        <v>5273205.0</v>
      </c>
    </row>
    <row r="2662">
      <c r="A2662" s="1">
        <v>2661.0</v>
      </c>
      <c r="B2662" s="1" t="s">
        <v>987</v>
      </c>
      <c r="C2662" s="1" t="s">
        <v>1623</v>
      </c>
      <c r="D2662" s="1">
        <v>1.0</v>
      </c>
      <c r="E2662" s="1" t="s">
        <v>614</v>
      </c>
      <c r="F2662" s="1">
        <v>61086.0</v>
      </c>
    </row>
    <row r="2663">
      <c r="A2663" s="1">
        <v>2662.0</v>
      </c>
      <c r="B2663" s="1" t="s">
        <v>396</v>
      </c>
      <c r="C2663" s="1" t="s">
        <v>1623</v>
      </c>
      <c r="D2663" s="1">
        <v>1.0</v>
      </c>
      <c r="E2663" s="1" t="s">
        <v>614</v>
      </c>
      <c r="F2663" s="1">
        <v>432559.0</v>
      </c>
    </row>
    <row r="2664">
      <c r="A2664" s="1">
        <v>2663.0</v>
      </c>
      <c r="B2664" s="1" t="s">
        <v>672</v>
      </c>
      <c r="C2664" s="1" t="s">
        <v>1623</v>
      </c>
      <c r="D2664" s="1">
        <v>1.0</v>
      </c>
      <c r="E2664" s="1" t="s">
        <v>614</v>
      </c>
      <c r="F2664" s="1">
        <v>22876.0</v>
      </c>
    </row>
    <row r="2665">
      <c r="A2665" s="1">
        <v>2664.0</v>
      </c>
      <c r="B2665" s="1" t="s">
        <v>755</v>
      </c>
      <c r="C2665" s="1" t="s">
        <v>1623</v>
      </c>
      <c r="D2665" s="1">
        <v>1.0</v>
      </c>
      <c r="E2665" s="1" t="s">
        <v>614</v>
      </c>
      <c r="F2665" s="1">
        <v>1989669.0</v>
      </c>
    </row>
    <row r="2666">
      <c r="A2666" s="1">
        <v>2665.0</v>
      </c>
      <c r="B2666" s="1" t="s">
        <v>681</v>
      </c>
      <c r="C2666" s="1" t="s">
        <v>1623</v>
      </c>
      <c r="D2666" s="1">
        <v>1.0</v>
      </c>
      <c r="E2666" s="1" t="s">
        <v>614</v>
      </c>
      <c r="F2666" s="1">
        <v>458101.0</v>
      </c>
    </row>
    <row r="2667">
      <c r="A2667" s="1">
        <v>2666.0</v>
      </c>
      <c r="B2667" s="1" t="s">
        <v>700</v>
      </c>
      <c r="C2667" s="1" t="s">
        <v>1623</v>
      </c>
      <c r="D2667" s="1">
        <v>1.0</v>
      </c>
      <c r="E2667" s="1" t="s">
        <v>614</v>
      </c>
      <c r="F2667" s="1">
        <v>237.0</v>
      </c>
    </row>
    <row r="2668">
      <c r="A2668" s="1">
        <v>2667.0</v>
      </c>
      <c r="B2668" s="1" t="s">
        <v>1702</v>
      </c>
      <c r="C2668" s="1" t="s">
        <v>1623</v>
      </c>
      <c r="D2668" s="1">
        <v>1.0</v>
      </c>
      <c r="E2668" s="1" t="s">
        <v>614</v>
      </c>
      <c r="F2668" s="1">
        <v>54400.0</v>
      </c>
    </row>
    <row r="2669">
      <c r="A2669" s="1">
        <v>2668.0</v>
      </c>
      <c r="B2669" s="1" t="s">
        <v>1703</v>
      </c>
      <c r="C2669" s="1" t="s">
        <v>1623</v>
      </c>
      <c r="D2669" s="1">
        <v>1.0</v>
      </c>
      <c r="E2669" s="1" t="s">
        <v>614</v>
      </c>
      <c r="F2669" s="1">
        <v>59472.0</v>
      </c>
    </row>
    <row r="2670">
      <c r="A2670" s="1">
        <v>2669.0</v>
      </c>
      <c r="B2670" s="1" t="s">
        <v>1704</v>
      </c>
      <c r="C2670" s="1" t="s">
        <v>1623</v>
      </c>
      <c r="D2670" s="1">
        <v>1.0</v>
      </c>
      <c r="E2670" s="1" t="s">
        <v>614</v>
      </c>
      <c r="F2670" s="1">
        <v>730000.0</v>
      </c>
    </row>
    <row r="2671">
      <c r="A2671" s="1">
        <v>2670.0</v>
      </c>
      <c r="B2671" s="1" t="s">
        <v>703</v>
      </c>
      <c r="C2671" s="1" t="s">
        <v>1623</v>
      </c>
      <c r="D2671" s="1">
        <v>1.0</v>
      </c>
      <c r="E2671" s="1" t="s">
        <v>614</v>
      </c>
      <c r="F2671" s="1">
        <v>422051.0</v>
      </c>
    </row>
    <row r="2672">
      <c r="A2672" s="1">
        <v>2671.0</v>
      </c>
      <c r="B2672" s="1" t="s">
        <v>1705</v>
      </c>
      <c r="C2672" s="1" t="s">
        <v>1623</v>
      </c>
      <c r="D2672" s="1">
        <v>1.0</v>
      </c>
      <c r="E2672" s="1" t="s">
        <v>614</v>
      </c>
      <c r="F2672" s="1">
        <v>576533.0</v>
      </c>
    </row>
    <row r="2673">
      <c r="A2673" s="1">
        <v>2672.0</v>
      </c>
      <c r="B2673" s="1" t="s">
        <v>1706</v>
      </c>
      <c r="C2673" s="1" t="s">
        <v>1623</v>
      </c>
      <c r="D2673" s="1">
        <v>1.0</v>
      </c>
      <c r="E2673" s="1" t="s">
        <v>614</v>
      </c>
      <c r="F2673" s="1">
        <v>16320.0</v>
      </c>
    </row>
    <row r="2674">
      <c r="A2674" s="1">
        <v>2673.0</v>
      </c>
      <c r="B2674" s="1" t="s">
        <v>1707</v>
      </c>
      <c r="C2674" s="1" t="s">
        <v>1623</v>
      </c>
      <c r="D2674" s="1">
        <v>1.0</v>
      </c>
      <c r="E2674" s="1" t="s">
        <v>614</v>
      </c>
      <c r="F2674" s="1">
        <v>886873.0</v>
      </c>
    </row>
    <row r="2675">
      <c r="A2675" s="1">
        <v>2674.0</v>
      </c>
      <c r="B2675" s="1" t="s">
        <v>1708</v>
      </c>
      <c r="C2675" s="1" t="s">
        <v>1623</v>
      </c>
      <c r="D2675" s="1">
        <v>1.0</v>
      </c>
      <c r="E2675" s="1" t="s">
        <v>614</v>
      </c>
      <c r="F2675" s="1">
        <v>435108.0</v>
      </c>
    </row>
    <row r="2676">
      <c r="A2676" s="1">
        <v>2675.0</v>
      </c>
      <c r="B2676" s="1" t="s">
        <v>1709</v>
      </c>
      <c r="C2676" s="1" t="s">
        <v>1623</v>
      </c>
      <c r="D2676" s="1">
        <v>1.0</v>
      </c>
      <c r="E2676" s="1" t="s">
        <v>614</v>
      </c>
      <c r="F2676" s="1">
        <v>23712.0</v>
      </c>
    </row>
    <row r="2677">
      <c r="A2677" s="1">
        <v>2676.0</v>
      </c>
      <c r="B2677" s="1" t="s">
        <v>727</v>
      </c>
      <c r="C2677" s="1" t="s">
        <v>1623</v>
      </c>
      <c r="D2677" s="1">
        <v>1.0</v>
      </c>
      <c r="E2677" s="1" t="s">
        <v>614</v>
      </c>
      <c r="F2677" s="1">
        <v>1493283.0</v>
      </c>
    </row>
    <row r="2678">
      <c r="A2678" s="1">
        <v>2677.0</v>
      </c>
      <c r="B2678" s="1" t="s">
        <v>1710</v>
      </c>
      <c r="C2678" s="1" t="s">
        <v>1623</v>
      </c>
      <c r="D2678" s="1">
        <v>1.0</v>
      </c>
      <c r="E2678" s="1" t="s">
        <v>614</v>
      </c>
      <c r="F2678" s="1">
        <v>372016.0</v>
      </c>
    </row>
    <row r="2679">
      <c r="A2679" s="1">
        <v>2678.0</v>
      </c>
      <c r="B2679" s="1" t="s">
        <v>1711</v>
      </c>
      <c r="C2679" s="1" t="s">
        <v>1623</v>
      </c>
      <c r="D2679" s="1">
        <v>1.0</v>
      </c>
      <c r="E2679" s="1" t="s">
        <v>614</v>
      </c>
      <c r="F2679" s="1">
        <v>2.0</v>
      </c>
    </row>
    <row r="2680">
      <c r="A2680" s="1">
        <v>2679.0</v>
      </c>
      <c r="B2680" s="1" t="s">
        <v>1712</v>
      </c>
      <c r="C2680" s="1" t="s">
        <v>1623</v>
      </c>
      <c r="D2680" s="1">
        <v>1.0</v>
      </c>
      <c r="E2680" s="1" t="s">
        <v>614</v>
      </c>
      <c r="F2680" s="1">
        <v>490000.0</v>
      </c>
    </row>
    <row r="2681">
      <c r="A2681" s="1">
        <v>2680.0</v>
      </c>
      <c r="B2681" s="1" t="s">
        <v>1713</v>
      </c>
      <c r="C2681" s="1" t="s">
        <v>1623</v>
      </c>
      <c r="D2681" s="1">
        <v>1.0</v>
      </c>
      <c r="E2681" s="1" t="s">
        <v>614</v>
      </c>
      <c r="F2681" s="1">
        <v>41648.0</v>
      </c>
    </row>
    <row r="2682">
      <c r="A2682" s="1">
        <v>2681.0</v>
      </c>
      <c r="B2682" s="1" t="s">
        <v>1714</v>
      </c>
      <c r="C2682" s="1" t="s">
        <v>1623</v>
      </c>
      <c r="D2682" s="1">
        <v>1.0</v>
      </c>
      <c r="E2682" s="1" t="s">
        <v>614</v>
      </c>
      <c r="F2682" s="1">
        <v>314473.0</v>
      </c>
    </row>
    <row r="2683">
      <c r="A2683" s="1">
        <v>2682.0</v>
      </c>
      <c r="B2683" s="1" t="s">
        <v>1715</v>
      </c>
      <c r="C2683" s="1" t="s">
        <v>1623</v>
      </c>
      <c r="D2683" s="1">
        <v>1.0</v>
      </c>
      <c r="E2683" s="1" t="s">
        <v>614</v>
      </c>
      <c r="F2683" s="1">
        <v>12059.0</v>
      </c>
    </row>
    <row r="2684">
      <c r="A2684" s="1">
        <v>2683.0</v>
      </c>
      <c r="B2684" s="1" t="s">
        <v>1716</v>
      </c>
      <c r="C2684" s="1" t="s">
        <v>1623</v>
      </c>
      <c r="D2684" s="1">
        <v>1.0</v>
      </c>
      <c r="E2684" s="1" t="s">
        <v>614</v>
      </c>
      <c r="F2684" s="1">
        <v>61.0</v>
      </c>
    </row>
    <row r="2685">
      <c r="A2685" s="1">
        <v>2684.0</v>
      </c>
      <c r="B2685" s="1" t="s">
        <v>1717</v>
      </c>
      <c r="C2685" s="1" t="s">
        <v>1623</v>
      </c>
      <c r="D2685" s="1">
        <v>1.0</v>
      </c>
      <c r="E2685" s="1" t="s">
        <v>614</v>
      </c>
      <c r="F2685" s="1">
        <v>39309.0</v>
      </c>
    </row>
    <row r="2686">
      <c r="A2686" s="1">
        <v>2685.0</v>
      </c>
      <c r="B2686" s="1" t="s">
        <v>1718</v>
      </c>
      <c r="C2686" s="1" t="s">
        <v>1623</v>
      </c>
      <c r="D2686" s="1">
        <v>1.0</v>
      </c>
      <c r="E2686" s="1" t="s">
        <v>614</v>
      </c>
      <c r="F2686" s="1">
        <v>739061.0</v>
      </c>
    </row>
    <row r="2687">
      <c r="A2687" s="1">
        <v>2686.0</v>
      </c>
      <c r="B2687" s="1" t="s">
        <v>1719</v>
      </c>
      <c r="C2687" s="1" t="s">
        <v>1623</v>
      </c>
      <c r="D2687" s="1">
        <v>1.0</v>
      </c>
      <c r="E2687" s="1" t="s">
        <v>614</v>
      </c>
      <c r="F2687" s="1">
        <v>2071942.0</v>
      </c>
    </row>
    <row r="2688">
      <c r="A2688" s="1">
        <v>2687.0</v>
      </c>
      <c r="B2688" s="1" t="s">
        <v>1720</v>
      </c>
      <c r="C2688" s="1" t="s">
        <v>1623</v>
      </c>
      <c r="D2688" s="1">
        <v>1.0</v>
      </c>
      <c r="E2688" s="1" t="s">
        <v>614</v>
      </c>
      <c r="F2688" s="1">
        <v>400.0</v>
      </c>
    </row>
    <row r="2689">
      <c r="A2689" s="1">
        <v>2688.0</v>
      </c>
      <c r="B2689" s="1" t="s">
        <v>1721</v>
      </c>
      <c r="C2689" s="1" t="s">
        <v>1623</v>
      </c>
      <c r="D2689" s="1">
        <v>1.0</v>
      </c>
      <c r="E2689" s="1" t="s">
        <v>614</v>
      </c>
      <c r="F2689" s="1">
        <v>492393.0</v>
      </c>
    </row>
    <row r="2690">
      <c r="A2690" s="1">
        <v>2689.0</v>
      </c>
      <c r="B2690" s="1" t="s">
        <v>1722</v>
      </c>
      <c r="C2690" s="1" t="s">
        <v>1623</v>
      </c>
      <c r="D2690" s="1">
        <v>1.0</v>
      </c>
      <c r="E2690" s="1" t="s">
        <v>614</v>
      </c>
      <c r="F2690" s="1">
        <v>5000.0</v>
      </c>
    </row>
    <row r="2691">
      <c r="A2691" s="1">
        <v>2690.0</v>
      </c>
      <c r="B2691" s="1" t="s">
        <v>752</v>
      </c>
      <c r="C2691" s="1" t="s">
        <v>1623</v>
      </c>
      <c r="D2691" s="1">
        <v>1.0</v>
      </c>
      <c r="E2691" s="1" t="s">
        <v>614</v>
      </c>
      <c r="F2691" s="1">
        <v>16078.0</v>
      </c>
    </row>
    <row r="2692">
      <c r="A2692" s="1">
        <v>2691.0</v>
      </c>
      <c r="B2692" s="1" t="s">
        <v>768</v>
      </c>
      <c r="C2692" s="1" t="s">
        <v>1623</v>
      </c>
      <c r="D2692" s="1">
        <v>1.0</v>
      </c>
      <c r="E2692" s="1" t="s">
        <v>614</v>
      </c>
      <c r="F2692" s="1">
        <v>96000.0</v>
      </c>
    </row>
    <row r="2693">
      <c r="A2693" s="1">
        <v>2692.0</v>
      </c>
      <c r="B2693" s="1" t="s">
        <v>1705</v>
      </c>
      <c r="C2693" s="1" t="s">
        <v>1623</v>
      </c>
      <c r="D2693" s="1">
        <v>1.0</v>
      </c>
      <c r="E2693" s="1" t="s">
        <v>614</v>
      </c>
      <c r="F2693" s="1">
        <v>20859.0</v>
      </c>
    </row>
    <row r="2694">
      <c r="A2694" s="1">
        <v>2693.0</v>
      </c>
      <c r="B2694" s="1" t="s">
        <v>1723</v>
      </c>
      <c r="C2694" s="1" t="s">
        <v>1623</v>
      </c>
      <c r="D2694" s="1">
        <v>1.0</v>
      </c>
      <c r="E2694" s="1" t="s">
        <v>614</v>
      </c>
      <c r="F2694" s="1">
        <v>14681.0</v>
      </c>
    </row>
    <row r="2695">
      <c r="A2695" s="1">
        <v>2694.0</v>
      </c>
      <c r="B2695" s="1" t="s">
        <v>701</v>
      </c>
      <c r="C2695" s="1" t="s">
        <v>1724</v>
      </c>
      <c r="D2695" s="1">
        <v>1.0</v>
      </c>
      <c r="E2695" s="1" t="s">
        <v>614</v>
      </c>
      <c r="F2695" s="1">
        <v>1397347.0</v>
      </c>
    </row>
    <row r="2696">
      <c r="A2696" s="1">
        <v>2695.0</v>
      </c>
      <c r="B2696" s="1" t="s">
        <v>1725</v>
      </c>
      <c r="C2696" s="1" t="s">
        <v>1623</v>
      </c>
      <c r="D2696" s="1">
        <v>1.0</v>
      </c>
      <c r="E2696" s="1" t="s">
        <v>614</v>
      </c>
      <c r="F2696" s="1">
        <v>36259.0</v>
      </c>
    </row>
    <row r="2697">
      <c r="A2697" s="1">
        <v>2696.0</v>
      </c>
      <c r="B2697" s="1" t="s">
        <v>1063</v>
      </c>
      <c r="C2697" s="1" t="s">
        <v>1726</v>
      </c>
      <c r="D2697" s="1">
        <v>1.0</v>
      </c>
      <c r="E2697" s="1" t="s">
        <v>614</v>
      </c>
      <c r="F2697" s="1">
        <v>1521236.0</v>
      </c>
    </row>
    <row r="2698">
      <c r="A2698" s="1">
        <v>2697.0</v>
      </c>
      <c r="C2698" s="1" t="s">
        <v>1727</v>
      </c>
      <c r="D2698" s="1">
        <v>1.0</v>
      </c>
      <c r="E2698" s="1" t="s">
        <v>614</v>
      </c>
      <c r="F2698" s="1">
        <v>6.0</v>
      </c>
    </row>
    <row r="2699">
      <c r="A2699" s="1">
        <v>2698.0</v>
      </c>
      <c r="B2699" s="1" t="s">
        <v>1728</v>
      </c>
      <c r="C2699" s="1" t="s">
        <v>1016</v>
      </c>
      <c r="E2699" s="1" t="s">
        <v>614</v>
      </c>
      <c r="F2699" s="1">
        <v>53.0</v>
      </c>
    </row>
    <row r="2700">
      <c r="A2700" s="1">
        <v>2699.0</v>
      </c>
      <c r="B2700" s="1" t="s">
        <v>1729</v>
      </c>
      <c r="C2700" s="1" t="s">
        <v>1730</v>
      </c>
      <c r="D2700" s="1">
        <v>1.0</v>
      </c>
      <c r="E2700" s="1" t="s">
        <v>614</v>
      </c>
      <c r="F2700" s="1">
        <v>186475.0</v>
      </c>
    </row>
    <row r="2701">
      <c r="A2701" s="1">
        <v>2700.0</v>
      </c>
      <c r="B2701" s="1" t="s">
        <v>9</v>
      </c>
      <c r="C2701" s="1" t="s">
        <v>1623</v>
      </c>
      <c r="D2701" s="1">
        <v>7.0</v>
      </c>
      <c r="E2701" s="1" t="s">
        <v>789</v>
      </c>
      <c r="F2701" s="1">
        <v>732477.0</v>
      </c>
    </row>
    <row r="2702">
      <c r="A2702" s="1">
        <v>2701.0</v>
      </c>
      <c r="B2702" s="1" t="s">
        <v>1731</v>
      </c>
      <c r="C2702" s="1" t="s">
        <v>1623</v>
      </c>
      <c r="D2702" s="1">
        <v>7.0</v>
      </c>
      <c r="E2702" s="1" t="s">
        <v>789</v>
      </c>
      <c r="F2702" s="1">
        <v>1746411.0</v>
      </c>
    </row>
    <row r="2703">
      <c r="A2703" s="1">
        <v>2702.0</v>
      </c>
      <c r="B2703" s="1" t="s">
        <v>861</v>
      </c>
      <c r="C2703" s="1" t="s">
        <v>1623</v>
      </c>
      <c r="D2703" s="1">
        <v>5.0</v>
      </c>
      <c r="E2703" s="1" t="s">
        <v>789</v>
      </c>
      <c r="F2703" s="1">
        <v>693.0</v>
      </c>
    </row>
    <row r="2704">
      <c r="A2704" s="1">
        <v>2703.0</v>
      </c>
      <c r="B2704" s="1" t="s">
        <v>11</v>
      </c>
      <c r="C2704" s="1" t="s">
        <v>1623</v>
      </c>
      <c r="D2704" s="1">
        <v>3.0</v>
      </c>
      <c r="E2704" s="1" t="s">
        <v>789</v>
      </c>
      <c r="F2704" s="1">
        <v>1154890.0</v>
      </c>
    </row>
    <row r="2705">
      <c r="A2705" s="1">
        <v>2704.0</v>
      </c>
      <c r="B2705" s="1" t="s">
        <v>1732</v>
      </c>
      <c r="C2705" s="1" t="s">
        <v>1623</v>
      </c>
      <c r="D2705" s="1">
        <v>3.0</v>
      </c>
      <c r="E2705" s="1" t="s">
        <v>789</v>
      </c>
      <c r="F2705" s="1">
        <v>569784.0</v>
      </c>
    </row>
    <row r="2706">
      <c r="A2706" s="1">
        <v>2705.0</v>
      </c>
      <c r="B2706" s="1" t="s">
        <v>1733</v>
      </c>
      <c r="C2706" s="1" t="s">
        <v>1623</v>
      </c>
      <c r="D2706" s="1">
        <v>3.0</v>
      </c>
      <c r="E2706" s="1" t="s">
        <v>789</v>
      </c>
      <c r="F2706" s="1">
        <v>880000.0</v>
      </c>
    </row>
    <row r="2707">
      <c r="A2707" s="1">
        <v>2706.0</v>
      </c>
      <c r="B2707" s="1" t="s">
        <v>469</v>
      </c>
      <c r="C2707" s="1" t="s">
        <v>1623</v>
      </c>
      <c r="D2707" s="1">
        <v>2.0</v>
      </c>
      <c r="E2707" s="1" t="s">
        <v>789</v>
      </c>
      <c r="F2707" s="1">
        <v>85843.0</v>
      </c>
    </row>
    <row r="2708">
      <c r="A2708" s="1">
        <v>2707.0</v>
      </c>
      <c r="B2708" s="1" t="s">
        <v>173</v>
      </c>
      <c r="C2708" s="1" t="s">
        <v>1623</v>
      </c>
      <c r="D2708" s="1">
        <v>2.0</v>
      </c>
      <c r="E2708" s="1" t="s">
        <v>789</v>
      </c>
      <c r="F2708" s="1">
        <v>68347.0</v>
      </c>
    </row>
    <row r="2709">
      <c r="A2709" s="1">
        <v>2708.0</v>
      </c>
      <c r="B2709" s="1" t="s">
        <v>1734</v>
      </c>
      <c r="C2709" s="1" t="s">
        <v>1623</v>
      </c>
      <c r="D2709" s="1">
        <v>2.0</v>
      </c>
      <c r="E2709" s="1" t="s">
        <v>789</v>
      </c>
      <c r="F2709" s="1">
        <v>100905.0</v>
      </c>
    </row>
    <row r="2710">
      <c r="A2710" s="1">
        <v>2709.0</v>
      </c>
      <c r="B2710" s="1" t="s">
        <v>1735</v>
      </c>
      <c r="C2710" s="1" t="s">
        <v>1623</v>
      </c>
      <c r="D2710" s="1">
        <v>2.0</v>
      </c>
      <c r="E2710" s="1" t="s">
        <v>789</v>
      </c>
      <c r="F2710" s="1">
        <v>1913450.0</v>
      </c>
    </row>
    <row r="2711">
      <c r="A2711" s="1">
        <v>2710.0</v>
      </c>
      <c r="B2711" s="1" t="s">
        <v>1736</v>
      </c>
      <c r="C2711" s="1" t="s">
        <v>1623</v>
      </c>
      <c r="D2711" s="1">
        <v>2.0</v>
      </c>
      <c r="E2711" s="1" t="s">
        <v>789</v>
      </c>
      <c r="F2711" s="1">
        <v>921650.0</v>
      </c>
    </row>
    <row r="2712">
      <c r="A2712" s="1">
        <v>2711.0</v>
      </c>
      <c r="B2712" s="1" t="s">
        <v>1737</v>
      </c>
      <c r="C2712" s="1" t="s">
        <v>1623</v>
      </c>
      <c r="D2712" s="1">
        <v>2.0</v>
      </c>
      <c r="E2712" s="1" t="s">
        <v>789</v>
      </c>
      <c r="F2712" s="1">
        <v>587852.0</v>
      </c>
    </row>
    <row r="2713">
      <c r="A2713" s="1">
        <v>2712.0</v>
      </c>
      <c r="B2713" s="1" t="s">
        <v>1738</v>
      </c>
      <c r="C2713" s="1" t="s">
        <v>1623</v>
      </c>
      <c r="D2713" s="1">
        <v>2.0</v>
      </c>
      <c r="E2713" s="1" t="s">
        <v>789</v>
      </c>
      <c r="F2713" s="1">
        <v>204841.0</v>
      </c>
    </row>
    <row r="2714">
      <c r="A2714" s="1">
        <v>2713.0</v>
      </c>
      <c r="B2714" s="1" t="s">
        <v>12</v>
      </c>
      <c r="C2714" s="1" t="s">
        <v>1623</v>
      </c>
      <c r="D2714" s="1">
        <v>1.0</v>
      </c>
      <c r="E2714" s="1" t="s">
        <v>789</v>
      </c>
      <c r="F2714" s="1">
        <v>8.0</v>
      </c>
    </row>
    <row r="2715">
      <c r="A2715" s="1">
        <v>2714.0</v>
      </c>
      <c r="B2715" s="1" t="s">
        <v>16</v>
      </c>
      <c r="C2715" s="1" t="s">
        <v>1623</v>
      </c>
      <c r="D2715" s="1">
        <v>1.0</v>
      </c>
      <c r="E2715" s="1" t="s">
        <v>789</v>
      </c>
      <c r="F2715" s="1">
        <v>56825.0</v>
      </c>
    </row>
    <row r="2716">
      <c r="A2716" s="1">
        <v>2715.0</v>
      </c>
      <c r="B2716" s="1" t="s">
        <v>29</v>
      </c>
      <c r="C2716" s="1" t="s">
        <v>1623</v>
      </c>
      <c r="D2716" s="1">
        <v>1.0</v>
      </c>
      <c r="E2716" s="1" t="s">
        <v>789</v>
      </c>
      <c r="F2716" s="1">
        <v>2320643.0</v>
      </c>
    </row>
    <row r="2717">
      <c r="A2717" s="1">
        <v>2716.0</v>
      </c>
      <c r="B2717" s="1" t="s">
        <v>33</v>
      </c>
      <c r="C2717" s="1" t="s">
        <v>1623</v>
      </c>
      <c r="D2717" s="1">
        <v>1.0</v>
      </c>
      <c r="E2717" s="1" t="s">
        <v>789</v>
      </c>
      <c r="F2717" s="1">
        <v>20180.0</v>
      </c>
    </row>
    <row r="2718">
      <c r="A2718" s="1">
        <v>2717.0</v>
      </c>
      <c r="B2718" s="1" t="s">
        <v>31</v>
      </c>
      <c r="C2718" s="1" t="s">
        <v>1623</v>
      </c>
      <c r="D2718" s="1">
        <v>1.0</v>
      </c>
      <c r="E2718" s="1" t="s">
        <v>789</v>
      </c>
      <c r="F2718" s="1">
        <v>371.0</v>
      </c>
    </row>
    <row r="2719">
      <c r="A2719" s="1">
        <v>2718.0</v>
      </c>
      <c r="B2719" s="1" t="s">
        <v>54</v>
      </c>
      <c r="C2719" s="1" t="s">
        <v>1623</v>
      </c>
      <c r="D2719" s="1">
        <v>1.0</v>
      </c>
      <c r="E2719" s="1" t="s">
        <v>789</v>
      </c>
      <c r="F2719" s="1">
        <v>30245.0</v>
      </c>
    </row>
    <row r="2720">
      <c r="A2720" s="1">
        <v>2719.0</v>
      </c>
      <c r="B2720" s="1" t="s">
        <v>1161</v>
      </c>
      <c r="C2720" s="1" t="s">
        <v>1623</v>
      </c>
      <c r="D2720" s="1">
        <v>1.0</v>
      </c>
      <c r="E2720" s="1" t="s">
        <v>789</v>
      </c>
      <c r="F2720" s="1">
        <v>158103.0</v>
      </c>
    </row>
    <row r="2721">
      <c r="A2721" s="1">
        <v>2720.0</v>
      </c>
      <c r="B2721" s="1" t="s">
        <v>989</v>
      </c>
      <c r="C2721" s="1" t="s">
        <v>1623</v>
      </c>
      <c r="D2721" s="1">
        <v>1.0</v>
      </c>
      <c r="E2721" s="1" t="s">
        <v>789</v>
      </c>
      <c r="F2721" s="1">
        <v>25899.0</v>
      </c>
    </row>
    <row r="2722">
      <c r="A2722" s="1">
        <v>2721.0</v>
      </c>
      <c r="B2722" s="1" t="s">
        <v>840</v>
      </c>
      <c r="C2722" s="1" t="s">
        <v>1623</v>
      </c>
      <c r="D2722" s="1">
        <v>1.0</v>
      </c>
      <c r="E2722" s="1" t="s">
        <v>789</v>
      </c>
      <c r="F2722" s="1">
        <v>1762835.0</v>
      </c>
    </row>
    <row r="2723">
      <c r="A2723" s="1">
        <v>2722.0</v>
      </c>
      <c r="B2723" s="1" t="s">
        <v>474</v>
      </c>
      <c r="C2723" s="1" t="s">
        <v>1623</v>
      </c>
      <c r="D2723" s="1">
        <v>1.0</v>
      </c>
      <c r="E2723" s="1" t="s">
        <v>789</v>
      </c>
      <c r="F2723" s="1">
        <v>3017.0</v>
      </c>
    </row>
    <row r="2724">
      <c r="A2724" s="1">
        <v>2723.0</v>
      </c>
      <c r="B2724" s="1" t="s">
        <v>1739</v>
      </c>
      <c r="C2724" s="1" t="s">
        <v>1623</v>
      </c>
      <c r="D2724" s="1">
        <v>1.0</v>
      </c>
      <c r="E2724" s="1" t="s">
        <v>789</v>
      </c>
      <c r="F2724" s="1">
        <v>35.0</v>
      </c>
    </row>
    <row r="2725">
      <c r="A2725" s="1">
        <v>2724.0</v>
      </c>
      <c r="B2725" s="1" t="s">
        <v>1740</v>
      </c>
      <c r="C2725" s="1" t="s">
        <v>1623</v>
      </c>
      <c r="D2725" s="1">
        <v>1.0</v>
      </c>
      <c r="E2725" s="1" t="s">
        <v>789</v>
      </c>
      <c r="F2725" s="1">
        <v>51923.0</v>
      </c>
    </row>
    <row r="2726">
      <c r="A2726" s="1">
        <v>2725.0</v>
      </c>
      <c r="B2726" s="1" t="s">
        <v>1741</v>
      </c>
      <c r="C2726" s="1" t="s">
        <v>1623</v>
      </c>
      <c r="D2726" s="1">
        <v>1.0</v>
      </c>
      <c r="E2726" s="1" t="s">
        <v>789</v>
      </c>
      <c r="F2726" s="1">
        <v>3567037.0</v>
      </c>
    </row>
    <row r="2727">
      <c r="A2727" s="1">
        <v>2726.0</v>
      </c>
      <c r="B2727" s="1" t="s">
        <v>1742</v>
      </c>
      <c r="C2727" s="1" t="s">
        <v>1623</v>
      </c>
      <c r="D2727" s="1">
        <v>1.0</v>
      </c>
      <c r="E2727" s="1" t="s">
        <v>789</v>
      </c>
      <c r="F2727" s="1">
        <v>421351.0</v>
      </c>
    </row>
    <row r="2728">
      <c r="A2728" s="1">
        <v>2727.0</v>
      </c>
      <c r="B2728" s="1" t="s">
        <v>1743</v>
      </c>
      <c r="C2728" s="1" t="s">
        <v>1623</v>
      </c>
      <c r="D2728" s="1">
        <v>1.0</v>
      </c>
      <c r="E2728" s="1" t="s">
        <v>789</v>
      </c>
      <c r="F2728" s="1">
        <v>702908.0</v>
      </c>
    </row>
    <row r="2729">
      <c r="A2729" s="1">
        <v>2728.0</v>
      </c>
      <c r="B2729" s="1" t="s">
        <v>68</v>
      </c>
      <c r="C2729" s="1" t="s">
        <v>1623</v>
      </c>
      <c r="D2729" s="1">
        <v>1.0</v>
      </c>
      <c r="E2729" s="1" t="s">
        <v>789</v>
      </c>
      <c r="F2729" s="1">
        <v>5.0</v>
      </c>
    </row>
    <row r="2730">
      <c r="A2730" s="1">
        <v>2729.0</v>
      </c>
      <c r="B2730" s="1" t="s">
        <v>1744</v>
      </c>
      <c r="C2730" s="1" t="s">
        <v>1623</v>
      </c>
      <c r="D2730" s="1">
        <v>1.0</v>
      </c>
      <c r="E2730" s="1" t="s">
        <v>789</v>
      </c>
      <c r="F2730" s="1">
        <v>2239989.0</v>
      </c>
    </row>
    <row r="2731">
      <c r="A2731" s="1">
        <v>2730.0</v>
      </c>
      <c r="B2731" s="1" t="s">
        <v>1188</v>
      </c>
      <c r="C2731" s="1" t="s">
        <v>1623</v>
      </c>
      <c r="D2731" s="1">
        <v>1.0</v>
      </c>
      <c r="E2731" s="1" t="s">
        <v>789</v>
      </c>
      <c r="F2731" s="1">
        <v>279672.0</v>
      </c>
    </row>
    <row r="2732">
      <c r="A2732" s="1">
        <v>2731.0</v>
      </c>
      <c r="B2732" s="1" t="s">
        <v>1745</v>
      </c>
      <c r="C2732" s="1" t="s">
        <v>1623</v>
      </c>
      <c r="D2732" s="1">
        <v>1.0</v>
      </c>
      <c r="E2732" s="1" t="s">
        <v>789</v>
      </c>
      <c r="F2732" s="1">
        <v>1343603.0</v>
      </c>
    </row>
    <row r="2733">
      <c r="A2733" s="1">
        <v>2732.0</v>
      </c>
      <c r="B2733" s="1" t="s">
        <v>1746</v>
      </c>
      <c r="C2733" s="1" t="s">
        <v>1623</v>
      </c>
      <c r="D2733" s="1">
        <v>1.0</v>
      </c>
      <c r="E2733" s="1" t="s">
        <v>789</v>
      </c>
      <c r="F2733" s="1">
        <v>85991.0</v>
      </c>
    </row>
    <row r="2734">
      <c r="A2734" s="1">
        <v>2733.0</v>
      </c>
      <c r="B2734" s="1" t="s">
        <v>1747</v>
      </c>
      <c r="C2734" s="1" t="s">
        <v>1623</v>
      </c>
      <c r="D2734" s="1">
        <v>1.0</v>
      </c>
      <c r="E2734" s="1" t="s">
        <v>789</v>
      </c>
      <c r="F2734" s="1">
        <v>2269647.0</v>
      </c>
    </row>
    <row r="2735">
      <c r="A2735" s="1">
        <v>2734.0</v>
      </c>
      <c r="B2735" s="1" t="s">
        <v>1748</v>
      </c>
      <c r="C2735" s="1" t="s">
        <v>1623</v>
      </c>
      <c r="D2735" s="1">
        <v>1.0</v>
      </c>
      <c r="E2735" s="1" t="s">
        <v>789</v>
      </c>
      <c r="F2735" s="1">
        <v>1864748.0</v>
      </c>
    </row>
    <row r="2736">
      <c r="A2736" s="1">
        <v>2735.0</v>
      </c>
      <c r="B2736" s="1" t="s">
        <v>1749</v>
      </c>
      <c r="C2736" s="1" t="s">
        <v>1623</v>
      </c>
      <c r="D2736" s="1">
        <v>1.0</v>
      </c>
      <c r="E2736" s="1" t="s">
        <v>789</v>
      </c>
      <c r="F2736" s="1">
        <v>1049129.0</v>
      </c>
    </row>
    <row r="2737">
      <c r="A2737" s="1">
        <v>2736.0</v>
      </c>
      <c r="B2737" s="1" t="s">
        <v>1750</v>
      </c>
      <c r="C2737" s="1" t="s">
        <v>1623</v>
      </c>
      <c r="D2737" s="1">
        <v>1.0</v>
      </c>
      <c r="E2737" s="1" t="s">
        <v>789</v>
      </c>
      <c r="F2737" s="1">
        <v>500.0</v>
      </c>
    </row>
    <row r="2738">
      <c r="A2738" s="1">
        <v>2737.0</v>
      </c>
      <c r="B2738" s="1" t="s">
        <v>1751</v>
      </c>
      <c r="C2738" s="1" t="s">
        <v>1623</v>
      </c>
      <c r="D2738" s="1">
        <v>1.0</v>
      </c>
      <c r="E2738" s="1" t="s">
        <v>789</v>
      </c>
      <c r="F2738" s="1">
        <v>696829.0</v>
      </c>
    </row>
    <row r="2739">
      <c r="A2739" s="1">
        <v>2738.0</v>
      </c>
      <c r="B2739" s="1" t="s">
        <v>1752</v>
      </c>
      <c r="C2739" s="1" t="s">
        <v>1623</v>
      </c>
      <c r="D2739" s="1">
        <v>1.0</v>
      </c>
      <c r="E2739" s="1" t="s">
        <v>789</v>
      </c>
      <c r="F2739" s="1">
        <v>248633.0</v>
      </c>
    </row>
    <row r="2740">
      <c r="A2740" s="1">
        <v>2739.0</v>
      </c>
      <c r="B2740" s="1" t="s">
        <v>1753</v>
      </c>
      <c r="C2740" s="1" t="s">
        <v>1623</v>
      </c>
      <c r="D2740" s="1">
        <v>1.0</v>
      </c>
      <c r="E2740" s="1" t="s">
        <v>789</v>
      </c>
      <c r="F2740" s="1">
        <v>919187.0</v>
      </c>
    </row>
    <row r="2741">
      <c r="A2741" s="1">
        <v>2740.0</v>
      </c>
      <c r="B2741" s="1" t="s">
        <v>1754</v>
      </c>
      <c r="C2741" s="1" t="s">
        <v>1623</v>
      </c>
      <c r="D2741" s="1">
        <v>1.0</v>
      </c>
      <c r="E2741" s="1" t="s">
        <v>789</v>
      </c>
      <c r="F2741" s="1">
        <v>110826.0</v>
      </c>
    </row>
    <row r="2742">
      <c r="A2742" s="1">
        <v>2741.0</v>
      </c>
      <c r="B2742" s="1" t="s">
        <v>1755</v>
      </c>
      <c r="C2742" s="1" t="s">
        <v>1623</v>
      </c>
      <c r="D2742" s="1">
        <v>1.0</v>
      </c>
      <c r="E2742" s="1" t="s">
        <v>789</v>
      </c>
      <c r="F2742" s="1">
        <v>920000.0</v>
      </c>
    </row>
    <row r="2743">
      <c r="A2743" s="1">
        <v>2742.0</v>
      </c>
      <c r="B2743" s="1" t="s">
        <v>1756</v>
      </c>
      <c r="C2743" s="1" t="s">
        <v>1623</v>
      </c>
      <c r="D2743" s="1">
        <v>1.0</v>
      </c>
      <c r="E2743" s="1" t="s">
        <v>789</v>
      </c>
      <c r="F2743" s="1">
        <v>208589.0</v>
      </c>
    </row>
    <row r="2744">
      <c r="A2744" s="1">
        <v>2743.0</v>
      </c>
      <c r="B2744" s="1" t="s">
        <v>1757</v>
      </c>
      <c r="C2744" s="1" t="s">
        <v>1623</v>
      </c>
      <c r="D2744" s="1">
        <v>1.0</v>
      </c>
      <c r="E2744" s="1" t="s">
        <v>789</v>
      </c>
      <c r="F2744" s="1">
        <v>25043.0</v>
      </c>
    </row>
    <row r="2745">
      <c r="A2745" s="1">
        <v>2744.0</v>
      </c>
      <c r="B2745" s="1" t="s">
        <v>1758</v>
      </c>
      <c r="C2745" s="1" t="s">
        <v>1623</v>
      </c>
      <c r="D2745" s="1">
        <v>1.0</v>
      </c>
      <c r="E2745" s="1" t="s">
        <v>789</v>
      </c>
      <c r="F2745" s="1">
        <v>52.0</v>
      </c>
    </row>
    <row r="2746">
      <c r="A2746" s="1">
        <v>2745.0</v>
      </c>
      <c r="B2746" s="1" t="s">
        <v>1759</v>
      </c>
      <c r="C2746" s="1" t="s">
        <v>1623</v>
      </c>
      <c r="D2746" s="1">
        <v>1.0</v>
      </c>
      <c r="E2746" s="1" t="s">
        <v>789</v>
      </c>
      <c r="F2746" s="1">
        <v>67.0</v>
      </c>
    </row>
    <row r="2747">
      <c r="A2747" s="1">
        <v>2746.0</v>
      </c>
      <c r="B2747" s="1" t="s">
        <v>1760</v>
      </c>
      <c r="C2747" s="1" t="s">
        <v>1623</v>
      </c>
      <c r="D2747" s="1">
        <v>1.0</v>
      </c>
      <c r="E2747" s="1" t="s">
        <v>789</v>
      </c>
      <c r="F2747" s="1">
        <v>18286.0</v>
      </c>
    </row>
    <row r="2748">
      <c r="A2748" s="1">
        <v>2747.0</v>
      </c>
      <c r="B2748" s="1" t="s">
        <v>1761</v>
      </c>
      <c r="C2748" s="1" t="s">
        <v>1623</v>
      </c>
      <c r="D2748" s="1">
        <v>1.0</v>
      </c>
      <c r="E2748" s="1" t="s">
        <v>789</v>
      </c>
      <c r="F2748" s="1">
        <v>683699.0</v>
      </c>
    </row>
    <row r="2749">
      <c r="A2749" s="1">
        <v>2748.0</v>
      </c>
      <c r="B2749" s="1" t="s">
        <v>1762</v>
      </c>
      <c r="C2749" s="1" t="s">
        <v>1623</v>
      </c>
      <c r="D2749" s="1">
        <v>1.0</v>
      </c>
      <c r="E2749" s="1" t="s">
        <v>789</v>
      </c>
      <c r="F2749" s="1">
        <v>302199.0</v>
      </c>
    </row>
    <row r="2750">
      <c r="A2750" s="1">
        <v>2749.0</v>
      </c>
      <c r="B2750" s="1" t="s">
        <v>1763</v>
      </c>
      <c r="C2750" s="1" t="s">
        <v>1623</v>
      </c>
      <c r="D2750" s="1">
        <v>1.0</v>
      </c>
      <c r="E2750" s="1" t="s">
        <v>789</v>
      </c>
      <c r="F2750" s="1">
        <v>469326.0</v>
      </c>
    </row>
    <row r="2751">
      <c r="A2751" s="1">
        <v>2750.0</v>
      </c>
      <c r="B2751" s="1" t="s">
        <v>1764</v>
      </c>
      <c r="C2751" s="1" t="s">
        <v>1623</v>
      </c>
      <c r="D2751" s="1">
        <v>1.0</v>
      </c>
      <c r="E2751" s="1" t="s">
        <v>789</v>
      </c>
      <c r="F2751" s="1">
        <v>725327.0</v>
      </c>
    </row>
    <row r="2752">
      <c r="A2752" s="1">
        <v>2751.0</v>
      </c>
      <c r="B2752" s="1" t="s">
        <v>1765</v>
      </c>
      <c r="C2752" s="1" t="s">
        <v>1623</v>
      </c>
      <c r="D2752" s="1">
        <v>1.0</v>
      </c>
      <c r="E2752" s="1" t="s">
        <v>789</v>
      </c>
      <c r="F2752" s="1">
        <v>31674.0</v>
      </c>
    </row>
    <row r="2753">
      <c r="A2753" s="1">
        <v>2752.0</v>
      </c>
      <c r="B2753" s="1" t="s">
        <v>1766</v>
      </c>
      <c r="C2753" s="1" t="s">
        <v>1623</v>
      </c>
      <c r="D2753" s="1">
        <v>1.0</v>
      </c>
      <c r="E2753" s="1" t="s">
        <v>789</v>
      </c>
      <c r="F2753" s="1">
        <v>43938.0</v>
      </c>
    </row>
    <row r="2754">
      <c r="A2754" s="1">
        <v>2753.0</v>
      </c>
      <c r="B2754" s="1" t="s">
        <v>1767</v>
      </c>
      <c r="C2754" s="1" t="s">
        <v>1623</v>
      </c>
      <c r="D2754" s="1">
        <v>1.0</v>
      </c>
      <c r="E2754" s="1" t="s">
        <v>789</v>
      </c>
      <c r="F2754" s="1">
        <v>98.0</v>
      </c>
    </row>
    <row r="2755">
      <c r="A2755" s="1">
        <v>2754.0</v>
      </c>
      <c r="B2755" s="1" t="s">
        <v>469</v>
      </c>
      <c r="C2755" s="1" t="s">
        <v>1768</v>
      </c>
      <c r="D2755" s="1">
        <v>38.0</v>
      </c>
      <c r="E2755" s="1" t="s">
        <v>789</v>
      </c>
      <c r="F2755" s="1">
        <v>275841.0</v>
      </c>
    </row>
    <row r="2756">
      <c r="A2756" s="1">
        <v>2755.0</v>
      </c>
      <c r="B2756" s="1" t="s">
        <v>469</v>
      </c>
      <c r="C2756" s="1" t="s">
        <v>1769</v>
      </c>
      <c r="D2756" s="1">
        <v>9.0</v>
      </c>
      <c r="E2756" s="1" t="s">
        <v>789</v>
      </c>
      <c r="F2756" s="1">
        <v>258596.0</v>
      </c>
    </row>
    <row r="2757">
      <c r="A2757" s="1">
        <v>2756.0</v>
      </c>
      <c r="B2757" s="1" t="s">
        <v>469</v>
      </c>
      <c r="C2757" s="1" t="s">
        <v>1770</v>
      </c>
      <c r="D2757" s="1">
        <v>6.0</v>
      </c>
      <c r="E2757" s="1" t="s">
        <v>789</v>
      </c>
      <c r="F2757" s="1">
        <v>295114.0</v>
      </c>
    </row>
    <row r="2758">
      <c r="A2758" s="1">
        <v>2757.0</v>
      </c>
      <c r="B2758" s="1" t="s">
        <v>469</v>
      </c>
      <c r="C2758" s="1" t="s">
        <v>1771</v>
      </c>
      <c r="D2758" s="1">
        <v>5.0</v>
      </c>
      <c r="E2758" s="1" t="s">
        <v>789</v>
      </c>
      <c r="F2758" s="1">
        <v>383213.0</v>
      </c>
    </row>
    <row r="2759">
      <c r="A2759" s="1">
        <v>2758.0</v>
      </c>
      <c r="B2759" s="1" t="s">
        <v>469</v>
      </c>
      <c r="C2759" s="1" t="s">
        <v>1623</v>
      </c>
      <c r="D2759" s="1">
        <v>4.0</v>
      </c>
      <c r="E2759" s="1" t="s">
        <v>789</v>
      </c>
      <c r="F2759" s="1">
        <v>297469.0</v>
      </c>
    </row>
    <row r="2760">
      <c r="A2760" s="1">
        <v>2759.0</v>
      </c>
      <c r="B2760" s="1" t="s">
        <v>1649</v>
      </c>
      <c r="C2760" s="1" t="s">
        <v>1772</v>
      </c>
      <c r="D2760" s="1">
        <v>3.0</v>
      </c>
      <c r="E2760" s="1" t="s">
        <v>789</v>
      </c>
      <c r="F2760" s="1">
        <v>464372.0</v>
      </c>
    </row>
    <row r="2761">
      <c r="A2761" s="1">
        <v>2760.0</v>
      </c>
      <c r="B2761" s="1" t="s">
        <v>469</v>
      </c>
      <c r="C2761" s="1" t="s">
        <v>1773</v>
      </c>
      <c r="D2761" s="1">
        <v>3.0</v>
      </c>
      <c r="E2761" s="1" t="s">
        <v>789</v>
      </c>
      <c r="F2761" s="1">
        <v>61.0</v>
      </c>
    </row>
    <row r="2762">
      <c r="A2762" s="1">
        <v>2761.0</v>
      </c>
      <c r="B2762" s="1" t="s">
        <v>1735</v>
      </c>
      <c r="C2762" s="1" t="s">
        <v>1774</v>
      </c>
      <c r="D2762" s="1">
        <v>1.0</v>
      </c>
      <c r="E2762" s="1" t="s">
        <v>789</v>
      </c>
      <c r="F2762" s="1">
        <v>3110514.0</v>
      </c>
    </row>
    <row r="2763">
      <c r="A2763" s="1">
        <v>2762.0</v>
      </c>
      <c r="B2763" s="1" t="s">
        <v>1775</v>
      </c>
      <c r="C2763" s="1" t="s">
        <v>1774</v>
      </c>
      <c r="D2763" s="1">
        <v>1.0</v>
      </c>
      <c r="E2763" s="1" t="s">
        <v>789</v>
      </c>
      <c r="F2763" s="1">
        <v>1452000.0</v>
      </c>
    </row>
    <row r="2764">
      <c r="A2764" s="1">
        <v>2763.0</v>
      </c>
      <c r="B2764" s="1" t="s">
        <v>39</v>
      </c>
      <c r="C2764" s="1" t="s">
        <v>1623</v>
      </c>
      <c r="D2764" s="1">
        <v>1.0</v>
      </c>
      <c r="E2764" s="1" t="s">
        <v>789</v>
      </c>
      <c r="F2764" s="1">
        <v>26228.0</v>
      </c>
    </row>
    <row r="2765">
      <c r="A2765" s="1">
        <v>2764.0</v>
      </c>
      <c r="B2765" s="1" t="s">
        <v>413</v>
      </c>
      <c r="C2765" s="1" t="s">
        <v>1623</v>
      </c>
      <c r="D2765" s="1">
        <v>1.0</v>
      </c>
      <c r="E2765" s="1" t="s">
        <v>789</v>
      </c>
      <c r="F2765" s="1">
        <v>15.0</v>
      </c>
    </row>
    <row r="2766">
      <c r="A2766" s="1">
        <v>2765.0</v>
      </c>
      <c r="B2766" s="1" t="s">
        <v>808</v>
      </c>
      <c r="C2766" s="1" t="s">
        <v>1623</v>
      </c>
      <c r="D2766" s="1">
        <v>1.0</v>
      </c>
      <c r="E2766" s="1" t="s">
        <v>789</v>
      </c>
      <c r="F2766" s="1">
        <v>515000.0</v>
      </c>
    </row>
    <row r="2767">
      <c r="A2767" s="1">
        <v>2766.0</v>
      </c>
      <c r="B2767" s="1" t="s">
        <v>861</v>
      </c>
      <c r="C2767" s="1" t="s">
        <v>1623</v>
      </c>
      <c r="D2767" s="1">
        <v>1.0</v>
      </c>
      <c r="E2767" s="1" t="s">
        <v>789</v>
      </c>
      <c r="F2767" s="1">
        <v>15644.0</v>
      </c>
    </row>
    <row r="2768">
      <c r="A2768" s="1">
        <v>2767.0</v>
      </c>
      <c r="B2768" s="1" t="s">
        <v>1741</v>
      </c>
      <c r="C2768" s="1" t="s">
        <v>1623</v>
      </c>
      <c r="D2768" s="1">
        <v>1.0</v>
      </c>
      <c r="E2768" s="1" t="s">
        <v>789</v>
      </c>
      <c r="F2768" s="1">
        <v>60440.0</v>
      </c>
    </row>
    <row r="2769">
      <c r="A2769" s="1">
        <v>2768.0</v>
      </c>
      <c r="B2769" s="1" t="s">
        <v>1776</v>
      </c>
      <c r="C2769" s="1" t="s">
        <v>1623</v>
      </c>
      <c r="D2769" s="1">
        <v>1.0</v>
      </c>
      <c r="E2769" s="1" t="s">
        <v>789</v>
      </c>
      <c r="F2769" s="1">
        <v>10360.0</v>
      </c>
    </row>
    <row r="2770">
      <c r="A2770" s="1">
        <v>2769.0</v>
      </c>
      <c r="B2770" s="1" t="s">
        <v>1743</v>
      </c>
      <c r="C2770" s="1" t="s">
        <v>1623</v>
      </c>
      <c r="D2770" s="1">
        <v>1.0</v>
      </c>
      <c r="E2770" s="1" t="s">
        <v>789</v>
      </c>
      <c r="F2770" s="1">
        <v>10073.0</v>
      </c>
    </row>
    <row r="2771">
      <c r="A2771" s="1">
        <v>2770.0</v>
      </c>
      <c r="B2771" s="1" t="s">
        <v>975</v>
      </c>
      <c r="C2771" s="1" t="s">
        <v>1623</v>
      </c>
      <c r="D2771" s="1">
        <v>1.0</v>
      </c>
      <c r="E2771" s="1" t="s">
        <v>789</v>
      </c>
      <c r="F2771" s="1">
        <v>5.0</v>
      </c>
    </row>
    <row r="2772">
      <c r="A2772" s="1">
        <v>2771.0</v>
      </c>
      <c r="B2772" s="1" t="s">
        <v>424</v>
      </c>
      <c r="C2772" s="1" t="s">
        <v>1623</v>
      </c>
      <c r="D2772" s="1">
        <v>1.0</v>
      </c>
      <c r="E2772" s="1" t="s">
        <v>789</v>
      </c>
      <c r="F2772" s="1">
        <v>27.0</v>
      </c>
    </row>
    <row r="2773">
      <c r="A2773" s="1">
        <v>2772.0</v>
      </c>
      <c r="B2773" s="1" t="s">
        <v>1777</v>
      </c>
      <c r="C2773" s="1" t="s">
        <v>1623</v>
      </c>
      <c r="D2773" s="1">
        <v>1.0</v>
      </c>
      <c r="E2773" s="1" t="s">
        <v>789</v>
      </c>
      <c r="F2773" s="1">
        <v>636784.0</v>
      </c>
    </row>
    <row r="2774">
      <c r="A2774" s="1">
        <v>2773.0</v>
      </c>
      <c r="B2774" s="1" t="s">
        <v>1778</v>
      </c>
      <c r="C2774" s="1" t="s">
        <v>1623</v>
      </c>
      <c r="D2774" s="1">
        <v>1.0</v>
      </c>
      <c r="E2774" s="1" t="s">
        <v>789</v>
      </c>
      <c r="F2774" s="1">
        <v>0.0</v>
      </c>
    </row>
    <row r="2775">
      <c r="A2775" s="1">
        <v>2774.0</v>
      </c>
      <c r="B2775" s="1" t="s">
        <v>1779</v>
      </c>
      <c r="C2775" s="1" t="s">
        <v>1623</v>
      </c>
      <c r="D2775" s="1">
        <v>1.0</v>
      </c>
      <c r="E2775" s="1" t="s">
        <v>789</v>
      </c>
      <c r="F2775" s="1">
        <v>4144.0</v>
      </c>
    </row>
    <row r="2776">
      <c r="A2776" s="1">
        <v>2775.0</v>
      </c>
      <c r="B2776" s="1" t="s">
        <v>1780</v>
      </c>
      <c r="C2776" s="1" t="s">
        <v>1623</v>
      </c>
      <c r="D2776" s="1">
        <v>1.0</v>
      </c>
      <c r="E2776" s="1" t="s">
        <v>789</v>
      </c>
      <c r="F2776" s="1">
        <v>5.0</v>
      </c>
    </row>
    <row r="2777">
      <c r="A2777" s="1">
        <v>2776.0</v>
      </c>
      <c r="B2777" s="1" t="s">
        <v>1781</v>
      </c>
      <c r="C2777" s="1" t="s">
        <v>1623</v>
      </c>
      <c r="D2777" s="1">
        <v>3.0</v>
      </c>
      <c r="E2777" s="1" t="s">
        <v>873</v>
      </c>
      <c r="F2777" s="1">
        <v>56.0</v>
      </c>
    </row>
    <row r="2778">
      <c r="A2778" s="1">
        <v>2777.0</v>
      </c>
      <c r="B2778" s="1" t="s">
        <v>9</v>
      </c>
      <c r="C2778" s="1" t="s">
        <v>1623</v>
      </c>
      <c r="D2778" s="1">
        <v>2.0</v>
      </c>
      <c r="E2778" s="1" t="s">
        <v>873</v>
      </c>
      <c r="F2778" s="1">
        <v>396478.0</v>
      </c>
    </row>
    <row r="2779">
      <c r="A2779" s="1">
        <v>2778.0</v>
      </c>
      <c r="B2779" s="1" t="s">
        <v>63</v>
      </c>
      <c r="C2779" s="1" t="s">
        <v>1623</v>
      </c>
      <c r="D2779" s="1">
        <v>2.0</v>
      </c>
      <c r="E2779" s="1" t="s">
        <v>873</v>
      </c>
      <c r="F2779" s="1">
        <v>25711.0</v>
      </c>
    </row>
    <row r="2780">
      <c r="A2780" s="1">
        <v>2779.0</v>
      </c>
      <c r="B2780" s="1" t="s">
        <v>1782</v>
      </c>
      <c r="C2780" s="1" t="s">
        <v>1623</v>
      </c>
      <c r="D2780" s="1">
        <v>2.0</v>
      </c>
      <c r="E2780" s="1" t="s">
        <v>873</v>
      </c>
      <c r="F2780" s="1">
        <v>1640000.0</v>
      </c>
    </row>
    <row r="2781">
      <c r="A2781" s="1">
        <v>2780.0</v>
      </c>
      <c r="B2781" s="1" t="s">
        <v>1783</v>
      </c>
      <c r="C2781" s="1" t="s">
        <v>1623</v>
      </c>
      <c r="D2781" s="1">
        <v>2.0</v>
      </c>
      <c r="E2781" s="1" t="s">
        <v>873</v>
      </c>
      <c r="F2781" s="1">
        <v>845183.0</v>
      </c>
    </row>
    <row r="2782">
      <c r="A2782" s="1">
        <v>2781.0</v>
      </c>
      <c r="B2782" s="1" t="s">
        <v>1784</v>
      </c>
      <c r="C2782" s="1" t="s">
        <v>1623</v>
      </c>
      <c r="D2782" s="1">
        <v>2.0</v>
      </c>
      <c r="E2782" s="1" t="s">
        <v>873</v>
      </c>
      <c r="F2782" s="1">
        <v>40787.0</v>
      </c>
    </row>
    <row r="2783">
      <c r="A2783" s="1">
        <v>2782.0</v>
      </c>
      <c r="B2783" s="1" t="s">
        <v>1785</v>
      </c>
      <c r="C2783" s="1" t="s">
        <v>1623</v>
      </c>
      <c r="D2783" s="1">
        <v>2.0</v>
      </c>
      <c r="E2783" s="1" t="s">
        <v>873</v>
      </c>
      <c r="F2783" s="1">
        <v>26115.0</v>
      </c>
    </row>
    <row r="2784">
      <c r="A2784" s="1">
        <v>2783.0</v>
      </c>
      <c r="B2784" s="1" t="s">
        <v>1786</v>
      </c>
      <c r="C2784" s="1" t="s">
        <v>1623</v>
      </c>
      <c r="D2784" s="1">
        <v>2.0</v>
      </c>
      <c r="E2784" s="1" t="s">
        <v>873</v>
      </c>
      <c r="F2784" s="1">
        <v>550316.0</v>
      </c>
    </row>
    <row r="2785">
      <c r="A2785" s="1">
        <v>2784.0</v>
      </c>
      <c r="B2785" s="1" t="s">
        <v>1787</v>
      </c>
      <c r="C2785" s="1" t="s">
        <v>1623</v>
      </c>
      <c r="D2785" s="1">
        <v>2.0</v>
      </c>
      <c r="E2785" s="1" t="s">
        <v>873</v>
      </c>
      <c r="F2785" s="1">
        <v>100871.0</v>
      </c>
    </row>
    <row r="2786">
      <c r="A2786" s="1">
        <v>2785.0</v>
      </c>
      <c r="B2786" s="1" t="s">
        <v>1788</v>
      </c>
      <c r="C2786" s="1" t="s">
        <v>1623</v>
      </c>
      <c r="D2786" s="1">
        <v>2.0</v>
      </c>
      <c r="E2786" s="1" t="s">
        <v>873</v>
      </c>
      <c r="F2786" s="1">
        <v>664388.0</v>
      </c>
    </row>
    <row r="2787">
      <c r="A2787" s="1">
        <v>2786.0</v>
      </c>
      <c r="B2787" s="1" t="s">
        <v>1018</v>
      </c>
      <c r="C2787" s="1" t="s">
        <v>1623</v>
      </c>
      <c r="D2787" s="1">
        <v>1.0</v>
      </c>
      <c r="E2787" s="1" t="s">
        <v>873</v>
      </c>
      <c r="F2787" s="1">
        <v>2219746.0</v>
      </c>
    </row>
    <row r="2788">
      <c r="A2788" s="1">
        <v>2787.0</v>
      </c>
      <c r="B2788" s="1" t="s">
        <v>874</v>
      </c>
      <c r="C2788" s="1" t="s">
        <v>1623</v>
      </c>
      <c r="D2788" s="1">
        <v>1.0</v>
      </c>
      <c r="E2788" s="1" t="s">
        <v>873</v>
      </c>
      <c r="F2788" s="1">
        <v>46.0</v>
      </c>
    </row>
    <row r="2789">
      <c r="A2789" s="1">
        <v>2788.0</v>
      </c>
      <c r="B2789" s="1" t="s">
        <v>1789</v>
      </c>
      <c r="C2789" s="1" t="s">
        <v>1623</v>
      </c>
      <c r="D2789" s="1">
        <v>1.0</v>
      </c>
      <c r="E2789" s="1" t="s">
        <v>873</v>
      </c>
      <c r="F2789" s="1">
        <v>1136500.0</v>
      </c>
    </row>
    <row r="2790">
      <c r="A2790" s="1">
        <v>2789.0</v>
      </c>
      <c r="B2790" s="1" t="s">
        <v>63</v>
      </c>
      <c r="C2790" s="1" t="s">
        <v>1623</v>
      </c>
      <c r="D2790" s="1">
        <v>1.0</v>
      </c>
      <c r="E2790" s="1" t="s">
        <v>873</v>
      </c>
      <c r="F2790" s="1">
        <v>1336892.0</v>
      </c>
    </row>
    <row r="2791">
      <c r="A2791" s="1">
        <v>2790.0</v>
      </c>
      <c r="B2791" s="1" t="s">
        <v>111</v>
      </c>
      <c r="C2791" s="1" t="s">
        <v>1623</v>
      </c>
      <c r="D2791" s="1">
        <v>1.0</v>
      </c>
      <c r="E2791" s="1" t="s">
        <v>873</v>
      </c>
      <c r="F2791" s="1">
        <v>1900443.0</v>
      </c>
    </row>
    <row r="2792">
      <c r="A2792" s="1">
        <v>2791.0</v>
      </c>
      <c r="B2792" s="1" t="s">
        <v>876</v>
      </c>
      <c r="C2792" s="1" t="s">
        <v>1623</v>
      </c>
      <c r="D2792" s="1">
        <v>1.0</v>
      </c>
      <c r="E2792" s="1" t="s">
        <v>873</v>
      </c>
      <c r="F2792" s="1">
        <v>1460635.0</v>
      </c>
    </row>
    <row r="2793">
      <c r="A2793" s="1">
        <v>2792.0</v>
      </c>
      <c r="B2793" s="1" t="s">
        <v>794</v>
      </c>
      <c r="C2793" s="1" t="s">
        <v>1623</v>
      </c>
      <c r="D2793" s="1">
        <v>1.0</v>
      </c>
      <c r="E2793" s="1" t="s">
        <v>873</v>
      </c>
      <c r="F2793" s="1">
        <v>51583.0</v>
      </c>
    </row>
    <row r="2794">
      <c r="A2794" s="1">
        <v>2793.0</v>
      </c>
      <c r="B2794" s="1" t="s">
        <v>1265</v>
      </c>
      <c r="C2794" s="1" t="s">
        <v>1623</v>
      </c>
      <c r="D2794" s="1">
        <v>1.0</v>
      </c>
      <c r="E2794" s="1" t="s">
        <v>873</v>
      </c>
      <c r="F2794" s="1">
        <v>27880.0</v>
      </c>
    </row>
    <row r="2795">
      <c r="A2795" s="1">
        <v>2794.0</v>
      </c>
      <c r="B2795" s="1" t="s">
        <v>1790</v>
      </c>
      <c r="C2795" s="1" t="s">
        <v>1623</v>
      </c>
      <c r="D2795" s="1">
        <v>1.0</v>
      </c>
      <c r="E2795" s="1" t="s">
        <v>873</v>
      </c>
      <c r="F2795" s="1">
        <v>20328.0</v>
      </c>
    </row>
    <row r="2796">
      <c r="A2796" s="1">
        <v>2795.0</v>
      </c>
      <c r="B2796" s="1" t="s">
        <v>1791</v>
      </c>
      <c r="C2796" s="1" t="s">
        <v>1623</v>
      </c>
      <c r="D2796" s="1">
        <v>1.0</v>
      </c>
      <c r="E2796" s="1" t="s">
        <v>873</v>
      </c>
      <c r="F2796" s="1">
        <v>515323.0</v>
      </c>
    </row>
    <row r="2797">
      <c r="A2797" s="1">
        <v>2796.0</v>
      </c>
      <c r="B2797" s="1" t="s">
        <v>1792</v>
      </c>
      <c r="C2797" s="1" t="s">
        <v>1623</v>
      </c>
      <c r="D2797" s="1">
        <v>1.0</v>
      </c>
      <c r="E2797" s="1" t="s">
        <v>873</v>
      </c>
      <c r="F2797" s="1">
        <v>56.0</v>
      </c>
    </row>
    <row r="2798">
      <c r="A2798" s="1">
        <v>2797.0</v>
      </c>
      <c r="B2798" s="1" t="s">
        <v>1793</v>
      </c>
      <c r="C2798" s="1" t="s">
        <v>1623</v>
      </c>
      <c r="D2798" s="1">
        <v>1.0</v>
      </c>
      <c r="E2798" s="1" t="s">
        <v>873</v>
      </c>
      <c r="F2798" s="1">
        <v>1006818.0</v>
      </c>
    </row>
    <row r="2799">
      <c r="A2799" s="1">
        <v>2798.0</v>
      </c>
      <c r="B2799" s="1" t="s">
        <v>1282</v>
      </c>
      <c r="C2799" s="1" t="s">
        <v>1623</v>
      </c>
      <c r="D2799" s="1">
        <v>1.0</v>
      </c>
      <c r="E2799" s="1" t="s">
        <v>873</v>
      </c>
      <c r="F2799" s="1">
        <v>39242.0</v>
      </c>
    </row>
    <row r="2800">
      <c r="A2800" s="1">
        <v>2799.0</v>
      </c>
      <c r="B2800" s="1" t="s">
        <v>1553</v>
      </c>
      <c r="C2800" s="1" t="s">
        <v>1623</v>
      </c>
      <c r="D2800" s="1">
        <v>1.0</v>
      </c>
      <c r="E2800" s="1" t="s">
        <v>873</v>
      </c>
      <c r="F2800" s="1">
        <v>240.0</v>
      </c>
    </row>
    <row r="2801">
      <c r="A2801" s="1">
        <v>2800.0</v>
      </c>
      <c r="B2801" s="1" t="s">
        <v>1794</v>
      </c>
      <c r="C2801" s="1" t="s">
        <v>1623</v>
      </c>
      <c r="D2801" s="1">
        <v>1.0</v>
      </c>
      <c r="E2801" s="1" t="s">
        <v>873</v>
      </c>
      <c r="F2801" s="1">
        <v>69.0</v>
      </c>
    </row>
    <row r="2802">
      <c r="A2802" s="1">
        <v>2801.0</v>
      </c>
      <c r="B2802" s="1" t="s">
        <v>1795</v>
      </c>
      <c r="C2802" s="1" t="s">
        <v>1623</v>
      </c>
      <c r="D2802" s="1">
        <v>1.0</v>
      </c>
      <c r="E2802" s="1" t="s">
        <v>873</v>
      </c>
      <c r="F2802" s="1">
        <v>30464.0</v>
      </c>
    </row>
    <row r="2803">
      <c r="A2803" s="1">
        <v>2802.0</v>
      </c>
      <c r="B2803" s="1" t="s">
        <v>1796</v>
      </c>
      <c r="C2803" s="1" t="s">
        <v>1623</v>
      </c>
      <c r="D2803" s="1">
        <v>1.0</v>
      </c>
      <c r="E2803" s="1" t="s">
        <v>873</v>
      </c>
      <c r="F2803" s="1">
        <v>2.0</v>
      </c>
    </row>
    <row r="2804">
      <c r="A2804" s="1">
        <v>2803.0</v>
      </c>
      <c r="B2804" s="1" t="s">
        <v>1797</v>
      </c>
      <c r="C2804" s="1" t="s">
        <v>1623</v>
      </c>
      <c r="D2804" s="1">
        <v>1.0</v>
      </c>
      <c r="E2804" s="1" t="s">
        <v>873</v>
      </c>
      <c r="F2804" s="1">
        <v>2518336.0</v>
      </c>
    </row>
    <row r="2805">
      <c r="A2805" s="1">
        <v>2804.0</v>
      </c>
      <c r="B2805" s="1" t="s">
        <v>1798</v>
      </c>
      <c r="C2805" s="1" t="s">
        <v>1623</v>
      </c>
      <c r="D2805" s="1">
        <v>1.0</v>
      </c>
      <c r="E2805" s="1" t="s">
        <v>873</v>
      </c>
      <c r="F2805" s="1">
        <v>6.0</v>
      </c>
    </row>
    <row r="2806">
      <c r="A2806" s="1">
        <v>2805.0</v>
      </c>
      <c r="B2806" s="1" t="s">
        <v>1799</v>
      </c>
      <c r="C2806" s="1" t="s">
        <v>1623</v>
      </c>
      <c r="D2806" s="1">
        <v>1.0</v>
      </c>
      <c r="E2806" s="1" t="s">
        <v>873</v>
      </c>
      <c r="F2806" s="1">
        <v>2612697.0</v>
      </c>
    </row>
    <row r="2807">
      <c r="A2807" s="1">
        <v>2806.0</v>
      </c>
      <c r="B2807" s="1" t="s">
        <v>1800</v>
      </c>
      <c r="C2807" s="1" t="s">
        <v>1623</v>
      </c>
      <c r="D2807" s="1">
        <v>1.0</v>
      </c>
      <c r="E2807" s="1" t="s">
        <v>873</v>
      </c>
      <c r="F2807" s="1">
        <v>671212.0</v>
      </c>
    </row>
    <row r="2808">
      <c r="A2808" s="1">
        <v>2807.0</v>
      </c>
      <c r="B2808" s="1" t="s">
        <v>1652</v>
      </c>
      <c r="C2808" s="1" t="s">
        <v>1623</v>
      </c>
      <c r="D2808" s="1">
        <v>1.0</v>
      </c>
      <c r="E2808" s="1" t="s">
        <v>873</v>
      </c>
      <c r="F2808" s="1">
        <v>550793.0</v>
      </c>
    </row>
    <row r="2809">
      <c r="A2809" s="1">
        <v>2808.0</v>
      </c>
      <c r="B2809" s="1" t="s">
        <v>877</v>
      </c>
      <c r="C2809" s="1" t="s">
        <v>1623</v>
      </c>
      <c r="D2809" s="1">
        <v>1.0</v>
      </c>
      <c r="E2809" s="1" t="s">
        <v>873</v>
      </c>
      <c r="F2809" s="1">
        <v>80294.0</v>
      </c>
    </row>
    <row r="2810">
      <c r="A2810" s="1">
        <v>2809.0</v>
      </c>
      <c r="B2810" s="1" t="s">
        <v>1627</v>
      </c>
      <c r="C2810" s="1" t="s">
        <v>1623</v>
      </c>
      <c r="D2810" s="1">
        <v>1.0</v>
      </c>
      <c r="E2810" s="1" t="s">
        <v>873</v>
      </c>
      <c r="F2810" s="1">
        <v>17.0</v>
      </c>
    </row>
    <row r="2811">
      <c r="A2811" s="1">
        <v>2810.0</v>
      </c>
      <c r="B2811" s="1" t="s">
        <v>1801</v>
      </c>
      <c r="C2811" s="1" t="s">
        <v>1623</v>
      </c>
      <c r="D2811" s="1">
        <v>1.0</v>
      </c>
      <c r="E2811" s="1" t="s">
        <v>873</v>
      </c>
      <c r="F2811" s="1">
        <v>649944.0</v>
      </c>
    </row>
    <row r="2812">
      <c r="A2812" s="1">
        <v>2811.0</v>
      </c>
      <c r="B2812" s="1" t="s">
        <v>926</v>
      </c>
      <c r="C2812" s="1" t="s">
        <v>1623</v>
      </c>
      <c r="D2812" s="1">
        <v>1.0</v>
      </c>
      <c r="E2812" s="1" t="s">
        <v>873</v>
      </c>
      <c r="F2812" s="1">
        <v>364418.0</v>
      </c>
    </row>
    <row r="2813">
      <c r="A2813" s="1">
        <v>2812.0</v>
      </c>
      <c r="B2813" s="1" t="s">
        <v>1385</v>
      </c>
      <c r="C2813" s="1" t="s">
        <v>1623</v>
      </c>
      <c r="D2813" s="1">
        <v>1.0</v>
      </c>
      <c r="E2813" s="1" t="s">
        <v>873</v>
      </c>
      <c r="F2813" s="1">
        <v>2876666.0</v>
      </c>
    </row>
    <row r="2814">
      <c r="A2814" s="1">
        <v>2813.0</v>
      </c>
      <c r="B2814" s="1" t="s">
        <v>1802</v>
      </c>
      <c r="C2814" s="1" t="s">
        <v>1623</v>
      </c>
      <c r="D2814" s="1">
        <v>1.0</v>
      </c>
      <c r="E2814" s="1" t="s">
        <v>873</v>
      </c>
      <c r="F2814" s="1">
        <v>143041.0</v>
      </c>
    </row>
    <row r="2815">
      <c r="A2815" s="1">
        <v>2814.0</v>
      </c>
      <c r="B2815" s="1" t="s">
        <v>1803</v>
      </c>
      <c r="C2815" s="1" t="s">
        <v>1623</v>
      </c>
      <c r="D2815" s="1">
        <v>1.0</v>
      </c>
      <c r="E2815" s="1" t="s">
        <v>873</v>
      </c>
      <c r="F2815" s="1">
        <v>412197.0</v>
      </c>
    </row>
    <row r="2816">
      <c r="A2816" s="1">
        <v>2815.0</v>
      </c>
      <c r="B2816" s="1" t="s">
        <v>1804</v>
      </c>
      <c r="C2816" s="1" t="s">
        <v>1623</v>
      </c>
      <c r="D2816" s="1">
        <v>1.0</v>
      </c>
      <c r="E2816" s="1" t="s">
        <v>873</v>
      </c>
      <c r="F2816" s="1">
        <v>1.0</v>
      </c>
    </row>
    <row r="2817">
      <c r="A2817" s="1">
        <v>2816.0</v>
      </c>
      <c r="B2817" s="1" t="s">
        <v>1805</v>
      </c>
      <c r="C2817" s="1" t="s">
        <v>1623</v>
      </c>
      <c r="D2817" s="1">
        <v>1.0</v>
      </c>
      <c r="E2817" s="1" t="s">
        <v>873</v>
      </c>
      <c r="F2817" s="1">
        <v>16589.0</v>
      </c>
    </row>
    <row r="2818">
      <c r="A2818" s="1">
        <v>2817.0</v>
      </c>
      <c r="B2818" s="1" t="s">
        <v>1806</v>
      </c>
      <c r="C2818" s="1" t="s">
        <v>1623</v>
      </c>
      <c r="D2818" s="1">
        <v>1.0</v>
      </c>
      <c r="E2818" s="1" t="s">
        <v>873</v>
      </c>
      <c r="F2818" s="1">
        <v>5.0</v>
      </c>
    </row>
    <row r="2819">
      <c r="A2819" s="1">
        <v>2818.0</v>
      </c>
      <c r="B2819" s="1" t="s">
        <v>1807</v>
      </c>
      <c r="C2819" s="1" t="s">
        <v>1623</v>
      </c>
      <c r="D2819" s="1">
        <v>1.0</v>
      </c>
      <c r="E2819" s="1" t="s">
        <v>873</v>
      </c>
      <c r="F2819" s="1">
        <v>236.0</v>
      </c>
    </row>
    <row r="2820">
      <c r="A2820" s="1">
        <v>2819.0</v>
      </c>
      <c r="B2820" s="1" t="s">
        <v>1808</v>
      </c>
      <c r="C2820" s="1" t="s">
        <v>1623</v>
      </c>
      <c r="D2820" s="1">
        <v>1.0</v>
      </c>
      <c r="E2820" s="1" t="s">
        <v>873</v>
      </c>
      <c r="F2820" s="1">
        <v>34095.0</v>
      </c>
    </row>
    <row r="2821">
      <c r="A2821" s="1">
        <v>2820.0</v>
      </c>
      <c r="B2821" s="1" t="s">
        <v>1809</v>
      </c>
      <c r="C2821" s="1" t="s">
        <v>1623</v>
      </c>
      <c r="D2821" s="1">
        <v>1.0</v>
      </c>
      <c r="E2821" s="1" t="s">
        <v>873</v>
      </c>
      <c r="F2821" s="1">
        <v>756731.0</v>
      </c>
    </row>
    <row r="2822">
      <c r="A2822" s="1">
        <v>2821.0</v>
      </c>
      <c r="B2822" s="1" t="s">
        <v>1810</v>
      </c>
      <c r="C2822" s="1" t="s">
        <v>1623</v>
      </c>
      <c r="D2822" s="1">
        <v>1.0</v>
      </c>
      <c r="E2822" s="1" t="s">
        <v>873</v>
      </c>
      <c r="F2822" s="1">
        <v>5279.0</v>
      </c>
    </row>
    <row r="2823">
      <c r="A2823" s="1">
        <v>2822.0</v>
      </c>
      <c r="B2823" s="1" t="s">
        <v>1811</v>
      </c>
      <c r="C2823" s="1" t="s">
        <v>1623</v>
      </c>
      <c r="D2823" s="1">
        <v>1.0</v>
      </c>
      <c r="E2823" s="1" t="s">
        <v>873</v>
      </c>
      <c r="F2823" s="1">
        <v>7524.0</v>
      </c>
    </row>
    <row r="2824">
      <c r="A2824" s="1">
        <v>2823.0</v>
      </c>
      <c r="B2824" s="1" t="s">
        <v>1812</v>
      </c>
      <c r="C2824" s="1" t="s">
        <v>1623</v>
      </c>
      <c r="D2824" s="1">
        <v>1.0</v>
      </c>
      <c r="E2824" s="1" t="s">
        <v>873</v>
      </c>
      <c r="F2824" s="1">
        <v>47.0</v>
      </c>
    </row>
    <row r="2825">
      <c r="A2825" s="1">
        <v>2824.0</v>
      </c>
      <c r="B2825" s="1" t="s">
        <v>1813</v>
      </c>
      <c r="C2825" s="1" t="s">
        <v>1623</v>
      </c>
      <c r="D2825" s="1">
        <v>1.0</v>
      </c>
      <c r="E2825" s="1" t="s">
        <v>873</v>
      </c>
      <c r="F2825" s="1">
        <v>2.0</v>
      </c>
    </row>
    <row r="2826">
      <c r="A2826" s="1">
        <v>2825.0</v>
      </c>
      <c r="B2826" s="1" t="s">
        <v>1814</v>
      </c>
      <c r="C2826" s="1" t="s">
        <v>1623</v>
      </c>
      <c r="D2826" s="1">
        <v>1.0</v>
      </c>
      <c r="E2826" s="1" t="s">
        <v>873</v>
      </c>
      <c r="F2826" s="1">
        <v>10368.0</v>
      </c>
    </row>
    <row r="2827">
      <c r="A2827" s="1">
        <v>2826.0</v>
      </c>
      <c r="B2827" s="1" t="s">
        <v>1815</v>
      </c>
      <c r="C2827" s="1" t="s">
        <v>1623</v>
      </c>
      <c r="D2827" s="1">
        <v>1.0</v>
      </c>
      <c r="E2827" s="1" t="s">
        <v>873</v>
      </c>
      <c r="F2827" s="1">
        <v>88285.0</v>
      </c>
    </row>
    <row r="2828">
      <c r="A2828" s="1">
        <v>2827.0</v>
      </c>
      <c r="B2828" s="1" t="s">
        <v>1816</v>
      </c>
      <c r="C2828" s="1" t="s">
        <v>1623</v>
      </c>
      <c r="D2828" s="1">
        <v>1.0</v>
      </c>
      <c r="E2828" s="1" t="s">
        <v>873</v>
      </c>
      <c r="F2828" s="1">
        <v>26206.0</v>
      </c>
    </row>
    <row r="2829">
      <c r="A2829" s="1">
        <v>2828.0</v>
      </c>
      <c r="B2829" s="1" t="s">
        <v>1817</v>
      </c>
      <c r="C2829" s="1" t="s">
        <v>1623</v>
      </c>
      <c r="D2829" s="1">
        <v>1.0</v>
      </c>
      <c r="E2829" s="1" t="s">
        <v>873</v>
      </c>
      <c r="F2829" s="1">
        <v>244.0</v>
      </c>
    </row>
    <row r="2830">
      <c r="A2830" s="1">
        <v>2829.0</v>
      </c>
      <c r="B2830" s="1" t="s">
        <v>1818</v>
      </c>
      <c r="C2830" s="1" t="s">
        <v>1623</v>
      </c>
      <c r="D2830" s="1">
        <v>1.0</v>
      </c>
      <c r="E2830" s="1" t="s">
        <v>873</v>
      </c>
      <c r="F2830" s="1">
        <v>7114.0</v>
      </c>
    </row>
    <row r="2831">
      <c r="A2831" s="1">
        <v>2830.0</v>
      </c>
      <c r="B2831" s="1" t="s">
        <v>678</v>
      </c>
      <c r="C2831" s="1" t="s">
        <v>1623</v>
      </c>
      <c r="D2831" s="1">
        <v>2.0</v>
      </c>
      <c r="E2831" s="1" t="s">
        <v>873</v>
      </c>
      <c r="F2831" s="1">
        <v>27077.0</v>
      </c>
    </row>
    <row r="2832">
      <c r="A2832" s="1">
        <v>2831.0</v>
      </c>
      <c r="B2832" s="1" t="s">
        <v>1819</v>
      </c>
      <c r="C2832" s="1" t="s">
        <v>1623</v>
      </c>
      <c r="D2832" s="1">
        <v>2.0</v>
      </c>
      <c r="E2832" s="1" t="s">
        <v>873</v>
      </c>
      <c r="F2832" s="1">
        <v>8570.0</v>
      </c>
    </row>
    <row r="2833">
      <c r="A2833" s="1">
        <v>2832.0</v>
      </c>
      <c r="B2833" s="1" t="s">
        <v>469</v>
      </c>
      <c r="C2833" s="1" t="s">
        <v>1771</v>
      </c>
      <c r="E2833" s="1" t="s">
        <v>873</v>
      </c>
      <c r="F2833" s="1">
        <v>329439.0</v>
      </c>
    </row>
    <row r="2834">
      <c r="A2834" s="1">
        <v>2833.0</v>
      </c>
      <c r="B2834" s="1" t="s">
        <v>1620</v>
      </c>
      <c r="C2834" s="1" t="s">
        <v>1623</v>
      </c>
      <c r="D2834" s="1">
        <v>1.0</v>
      </c>
      <c r="E2834" s="1" t="s">
        <v>873</v>
      </c>
      <c r="F2834" s="1">
        <v>1748000.0</v>
      </c>
    </row>
    <row r="2835">
      <c r="A2835" s="1">
        <v>2834.0</v>
      </c>
      <c r="B2835" s="1" t="s">
        <v>1820</v>
      </c>
      <c r="C2835" s="1" t="s">
        <v>1623</v>
      </c>
      <c r="D2835" s="1">
        <v>1.0</v>
      </c>
      <c r="E2835" s="1" t="s">
        <v>873</v>
      </c>
      <c r="F2835" s="1">
        <v>373262.0</v>
      </c>
    </row>
    <row r="2836">
      <c r="A2836" s="1">
        <v>2835.0</v>
      </c>
      <c r="B2836" s="1" t="s">
        <v>469</v>
      </c>
      <c r="C2836" s="1" t="s">
        <v>1623</v>
      </c>
      <c r="D2836" s="1">
        <v>1.0</v>
      </c>
      <c r="E2836" s="1" t="s">
        <v>873</v>
      </c>
      <c r="F2836" s="1">
        <v>297324.0</v>
      </c>
    </row>
    <row r="2837">
      <c r="A2837" s="1">
        <v>2836.0</v>
      </c>
      <c r="B2837" s="1" t="s">
        <v>33</v>
      </c>
      <c r="C2837" s="1" t="s">
        <v>1623</v>
      </c>
      <c r="D2837" s="1">
        <v>1.0</v>
      </c>
      <c r="E2837" s="1" t="s">
        <v>873</v>
      </c>
      <c r="F2837" s="1">
        <v>18088.0</v>
      </c>
    </row>
    <row r="2838">
      <c r="A2838" s="1">
        <v>2837.0</v>
      </c>
      <c r="B2838" s="1" t="s">
        <v>897</v>
      </c>
      <c r="C2838" s="1" t="s">
        <v>1623</v>
      </c>
      <c r="D2838" s="1">
        <v>1.0</v>
      </c>
      <c r="E2838" s="1" t="s">
        <v>873</v>
      </c>
      <c r="F2838" s="1">
        <v>1210284.0</v>
      </c>
    </row>
    <row r="2839">
      <c r="A2839" s="1">
        <v>2838.0</v>
      </c>
      <c r="B2839" s="1" t="s">
        <v>9</v>
      </c>
      <c r="C2839" s="1" t="s">
        <v>1623</v>
      </c>
      <c r="D2839" s="1">
        <v>6.0</v>
      </c>
      <c r="E2839" s="1" t="s">
        <v>945</v>
      </c>
      <c r="F2839" s="1">
        <v>824909.0</v>
      </c>
    </row>
    <row r="2840">
      <c r="A2840" s="1">
        <v>2839.0</v>
      </c>
      <c r="B2840" s="1" t="s">
        <v>1821</v>
      </c>
      <c r="C2840" s="1" t="s">
        <v>1623</v>
      </c>
      <c r="D2840" s="1">
        <v>4.0</v>
      </c>
      <c r="E2840" s="1" t="s">
        <v>945</v>
      </c>
      <c r="F2840" s="1">
        <v>1028702.0</v>
      </c>
    </row>
    <row r="2841">
      <c r="A2841" s="1">
        <v>2840.0</v>
      </c>
      <c r="B2841" s="1" t="s">
        <v>104</v>
      </c>
      <c r="C2841" s="1" t="s">
        <v>1623</v>
      </c>
      <c r="D2841" s="1">
        <v>2.0</v>
      </c>
      <c r="E2841" s="1" t="s">
        <v>945</v>
      </c>
      <c r="F2841" s="1">
        <v>622422.0</v>
      </c>
    </row>
    <row r="2842">
      <c r="A2842" s="1">
        <v>2841.0</v>
      </c>
      <c r="B2842" s="1" t="s">
        <v>1822</v>
      </c>
      <c r="C2842" s="1" t="s">
        <v>1623</v>
      </c>
      <c r="D2842" s="1">
        <v>2.0</v>
      </c>
      <c r="E2842" s="1" t="s">
        <v>945</v>
      </c>
      <c r="F2842" s="1">
        <v>1012128.0</v>
      </c>
    </row>
    <row r="2843">
      <c r="A2843" s="1">
        <v>2842.0</v>
      </c>
      <c r="B2843" s="1" t="s">
        <v>1823</v>
      </c>
      <c r="C2843" s="1" t="s">
        <v>1623</v>
      </c>
      <c r="D2843" s="1">
        <v>2.0</v>
      </c>
      <c r="E2843" s="1" t="s">
        <v>945</v>
      </c>
      <c r="F2843" s="1">
        <v>302507.0</v>
      </c>
    </row>
    <row r="2844">
      <c r="A2844" s="1">
        <v>2843.0</v>
      </c>
      <c r="B2844" s="1" t="s">
        <v>1824</v>
      </c>
      <c r="C2844" s="1" t="s">
        <v>1623</v>
      </c>
      <c r="D2844" s="1">
        <v>2.0</v>
      </c>
      <c r="E2844" s="1" t="s">
        <v>945</v>
      </c>
      <c r="F2844" s="1">
        <v>26792.0</v>
      </c>
    </row>
    <row r="2845">
      <c r="A2845" s="1">
        <v>2844.0</v>
      </c>
      <c r="B2845" s="1" t="s">
        <v>11</v>
      </c>
      <c r="C2845" s="1" t="s">
        <v>1623</v>
      </c>
      <c r="D2845" s="1">
        <v>1.0</v>
      </c>
      <c r="E2845" s="1" t="s">
        <v>945</v>
      </c>
      <c r="F2845" s="1">
        <v>981414.0</v>
      </c>
    </row>
    <row r="2846">
      <c r="A2846" s="1">
        <v>2845.0</v>
      </c>
      <c r="B2846" s="1" t="s">
        <v>14</v>
      </c>
      <c r="C2846" s="1" t="s">
        <v>1623</v>
      </c>
      <c r="D2846" s="1">
        <v>1.0</v>
      </c>
      <c r="E2846" s="1" t="s">
        <v>945</v>
      </c>
      <c r="F2846" s="1">
        <v>95.0</v>
      </c>
    </row>
    <row r="2847">
      <c r="A2847" s="1">
        <v>2846.0</v>
      </c>
      <c r="B2847" s="1" t="s">
        <v>581</v>
      </c>
      <c r="C2847" s="1" t="s">
        <v>1623</v>
      </c>
      <c r="D2847" s="1">
        <v>1.0</v>
      </c>
      <c r="E2847" s="1" t="s">
        <v>945</v>
      </c>
      <c r="F2847" s="1">
        <v>705133.0</v>
      </c>
    </row>
    <row r="2848">
      <c r="A2848" s="1">
        <v>2847.0</v>
      </c>
      <c r="B2848" s="1" t="s">
        <v>5</v>
      </c>
      <c r="C2848" s="1" t="s">
        <v>1623</v>
      </c>
      <c r="D2848" s="1">
        <v>1.0</v>
      </c>
      <c r="E2848" s="1" t="s">
        <v>945</v>
      </c>
      <c r="F2848" s="1">
        <v>671696.0</v>
      </c>
    </row>
    <row r="2849">
      <c r="A2849" s="1">
        <v>2848.0</v>
      </c>
      <c r="B2849" s="1" t="s">
        <v>1333</v>
      </c>
      <c r="C2849" s="1" t="s">
        <v>1623</v>
      </c>
      <c r="D2849" s="1">
        <v>1.0</v>
      </c>
      <c r="E2849" s="1" t="s">
        <v>945</v>
      </c>
      <c r="F2849" s="1">
        <v>353.0</v>
      </c>
    </row>
    <row r="2850">
      <c r="A2850" s="1">
        <v>2849.0</v>
      </c>
      <c r="B2850" s="1" t="s">
        <v>173</v>
      </c>
      <c r="C2850" s="1" t="s">
        <v>1623</v>
      </c>
      <c r="D2850" s="1">
        <v>1.0</v>
      </c>
      <c r="E2850" s="1" t="s">
        <v>945</v>
      </c>
      <c r="F2850" s="1">
        <v>254524.0</v>
      </c>
    </row>
    <row r="2851">
      <c r="A2851" s="1">
        <v>2850.0</v>
      </c>
      <c r="B2851" s="1" t="s">
        <v>101</v>
      </c>
      <c r="C2851" s="1" t="s">
        <v>1623</v>
      </c>
      <c r="D2851" s="1">
        <v>1.0</v>
      </c>
      <c r="E2851" s="1" t="s">
        <v>945</v>
      </c>
      <c r="F2851" s="1">
        <v>55.0</v>
      </c>
    </row>
    <row r="2852">
      <c r="A2852" s="1">
        <v>2851.0</v>
      </c>
      <c r="B2852" s="1" t="s">
        <v>210</v>
      </c>
      <c r="C2852" s="1" t="s">
        <v>1623</v>
      </c>
      <c r="D2852" s="1">
        <v>1.0</v>
      </c>
      <c r="E2852" s="1" t="s">
        <v>945</v>
      </c>
      <c r="F2852" s="1">
        <v>1476237.0</v>
      </c>
    </row>
    <row r="2853">
      <c r="A2853" s="1">
        <v>2852.0</v>
      </c>
      <c r="B2853" s="1" t="s">
        <v>758</v>
      </c>
      <c r="C2853" s="1" t="s">
        <v>1623</v>
      </c>
      <c r="D2853" s="1">
        <v>1.0</v>
      </c>
      <c r="E2853" s="1" t="s">
        <v>945</v>
      </c>
      <c r="F2853" s="1">
        <v>18742.0</v>
      </c>
    </row>
    <row r="2854">
      <c r="A2854" s="1">
        <v>2853.0</v>
      </c>
      <c r="B2854" s="1" t="s">
        <v>966</v>
      </c>
      <c r="C2854" s="1" t="s">
        <v>1623</v>
      </c>
      <c r="D2854" s="1">
        <v>1.0</v>
      </c>
      <c r="E2854" s="1" t="s">
        <v>945</v>
      </c>
      <c r="F2854" s="1">
        <v>507729.0</v>
      </c>
    </row>
    <row r="2855">
      <c r="A2855" s="1">
        <v>2854.0</v>
      </c>
      <c r="B2855" s="1" t="s">
        <v>1825</v>
      </c>
      <c r="C2855" s="1" t="s">
        <v>1623</v>
      </c>
      <c r="D2855" s="1">
        <v>1.0</v>
      </c>
      <c r="E2855" s="1" t="s">
        <v>945</v>
      </c>
      <c r="F2855" s="1">
        <v>688345.0</v>
      </c>
    </row>
    <row r="2856">
      <c r="A2856" s="1">
        <v>2855.0</v>
      </c>
      <c r="B2856" s="1" t="s">
        <v>1826</v>
      </c>
      <c r="C2856" s="1" t="s">
        <v>1623</v>
      </c>
      <c r="D2856" s="1">
        <v>1.0</v>
      </c>
      <c r="E2856" s="1" t="s">
        <v>945</v>
      </c>
      <c r="F2856" s="1">
        <v>57353.0</v>
      </c>
    </row>
    <row r="2857">
      <c r="A2857" s="1">
        <v>2856.0</v>
      </c>
      <c r="B2857" s="1" t="s">
        <v>1827</v>
      </c>
      <c r="C2857" s="1" t="s">
        <v>1623</v>
      </c>
      <c r="D2857" s="1">
        <v>1.0</v>
      </c>
      <c r="E2857" s="1" t="s">
        <v>945</v>
      </c>
      <c r="F2857" s="1">
        <v>1189536.0</v>
      </c>
    </row>
    <row r="2858">
      <c r="A2858" s="1">
        <v>2857.0</v>
      </c>
      <c r="B2858" s="1" t="s">
        <v>1828</v>
      </c>
      <c r="C2858" s="1" t="s">
        <v>1623</v>
      </c>
      <c r="D2858" s="1">
        <v>1.0</v>
      </c>
      <c r="E2858" s="1" t="s">
        <v>945</v>
      </c>
      <c r="F2858" s="1">
        <v>2.0</v>
      </c>
    </row>
    <row r="2859">
      <c r="A2859" s="1">
        <v>2858.0</v>
      </c>
      <c r="B2859" s="1" t="s">
        <v>1829</v>
      </c>
      <c r="C2859" s="1" t="s">
        <v>1623</v>
      </c>
      <c r="D2859" s="1">
        <v>1.0</v>
      </c>
      <c r="E2859" s="1" t="s">
        <v>945</v>
      </c>
      <c r="F2859" s="1">
        <v>27897.0</v>
      </c>
    </row>
    <row r="2860">
      <c r="A2860" s="1">
        <v>2859.0</v>
      </c>
      <c r="B2860" s="1" t="s">
        <v>1830</v>
      </c>
      <c r="C2860" s="1" t="s">
        <v>1623</v>
      </c>
      <c r="D2860" s="1">
        <v>1.0</v>
      </c>
      <c r="E2860" s="1" t="s">
        <v>945</v>
      </c>
      <c r="F2860" s="1">
        <v>73971.0</v>
      </c>
    </row>
    <row r="2861">
      <c r="A2861" s="1">
        <v>2860.0</v>
      </c>
      <c r="B2861" s="1" t="s">
        <v>1831</v>
      </c>
      <c r="C2861" s="1" t="s">
        <v>1623</v>
      </c>
      <c r="D2861" s="1">
        <v>1.0</v>
      </c>
      <c r="E2861" s="1" t="s">
        <v>945</v>
      </c>
      <c r="F2861" s="1">
        <v>5.0</v>
      </c>
    </row>
    <row r="2862">
      <c r="A2862" s="1">
        <v>2861.0</v>
      </c>
      <c r="B2862" s="1" t="s">
        <v>1832</v>
      </c>
      <c r="C2862" s="1" t="s">
        <v>1623</v>
      </c>
      <c r="D2862" s="1">
        <v>1.0</v>
      </c>
      <c r="E2862" s="1" t="s">
        <v>945</v>
      </c>
      <c r="F2862" s="1">
        <v>343594.0</v>
      </c>
    </row>
    <row r="2863">
      <c r="A2863" s="1">
        <v>2862.0</v>
      </c>
      <c r="B2863" s="1" t="s">
        <v>1833</v>
      </c>
      <c r="C2863" s="1" t="s">
        <v>1623</v>
      </c>
      <c r="D2863" s="1">
        <v>1.0</v>
      </c>
      <c r="E2863" s="1" t="s">
        <v>945</v>
      </c>
      <c r="F2863" s="1">
        <v>1087770.0</v>
      </c>
    </row>
    <row r="2864">
      <c r="A2864" s="1">
        <v>2863.0</v>
      </c>
      <c r="B2864" s="1" t="s">
        <v>1834</v>
      </c>
      <c r="C2864" s="1" t="s">
        <v>1623</v>
      </c>
      <c r="D2864" s="1">
        <v>1.0</v>
      </c>
      <c r="E2864" s="1" t="s">
        <v>945</v>
      </c>
      <c r="F2864" s="1">
        <v>1136717.0</v>
      </c>
    </row>
    <row r="2865">
      <c r="A2865" s="1">
        <v>2864.0</v>
      </c>
      <c r="B2865" s="1" t="s">
        <v>1835</v>
      </c>
      <c r="C2865" s="1" t="s">
        <v>1623</v>
      </c>
      <c r="D2865" s="1">
        <v>1.0</v>
      </c>
      <c r="E2865" s="1" t="s">
        <v>945</v>
      </c>
      <c r="F2865" s="1">
        <v>906601.0</v>
      </c>
    </row>
    <row r="2866">
      <c r="A2866" s="1">
        <v>2865.0</v>
      </c>
      <c r="B2866" s="1" t="s">
        <v>1836</v>
      </c>
      <c r="C2866" s="1" t="s">
        <v>1623</v>
      </c>
      <c r="D2866" s="1">
        <v>1.0</v>
      </c>
      <c r="E2866" s="1" t="s">
        <v>945</v>
      </c>
      <c r="F2866" s="1">
        <v>95.0</v>
      </c>
    </row>
    <row r="2867">
      <c r="A2867" s="1">
        <v>2866.0</v>
      </c>
      <c r="B2867" s="1" t="s">
        <v>1837</v>
      </c>
      <c r="C2867" s="1" t="s">
        <v>1623</v>
      </c>
      <c r="D2867" s="1">
        <v>1.0</v>
      </c>
      <c r="E2867" s="1" t="s">
        <v>945</v>
      </c>
      <c r="F2867" s="1">
        <v>36488.0</v>
      </c>
    </row>
    <row r="2868">
      <c r="A2868" s="1">
        <v>2867.0</v>
      </c>
      <c r="B2868" s="1" t="s">
        <v>1838</v>
      </c>
      <c r="C2868" s="1" t="s">
        <v>1623</v>
      </c>
      <c r="D2868" s="1">
        <v>1.0</v>
      </c>
      <c r="E2868" s="1" t="s">
        <v>945</v>
      </c>
      <c r="F2868" s="1">
        <v>5.0</v>
      </c>
    </row>
    <row r="2869">
      <c r="A2869" s="1">
        <v>2868.0</v>
      </c>
      <c r="B2869" s="1" t="s">
        <v>1809</v>
      </c>
      <c r="C2869" s="1" t="s">
        <v>1623</v>
      </c>
      <c r="D2869" s="1">
        <v>1.0</v>
      </c>
      <c r="E2869" s="1" t="s">
        <v>945</v>
      </c>
      <c r="F2869" s="1">
        <v>749457.0</v>
      </c>
    </row>
    <row r="2870">
      <c r="A2870" s="1">
        <v>2869.0</v>
      </c>
      <c r="B2870" s="1" t="s">
        <v>1839</v>
      </c>
      <c r="C2870" s="1" t="s">
        <v>1623</v>
      </c>
      <c r="D2870" s="1">
        <v>1.0</v>
      </c>
      <c r="E2870" s="1" t="s">
        <v>945</v>
      </c>
      <c r="F2870" s="1">
        <v>8312.0</v>
      </c>
    </row>
    <row r="2871">
      <c r="A2871" s="1">
        <v>2870.0</v>
      </c>
      <c r="B2871" s="1" t="s">
        <v>1840</v>
      </c>
      <c r="C2871" s="1" t="s">
        <v>1623</v>
      </c>
      <c r="D2871" s="1">
        <v>1.0</v>
      </c>
      <c r="E2871" s="1" t="s">
        <v>945</v>
      </c>
      <c r="F2871" s="1">
        <v>38235.0</v>
      </c>
    </row>
    <row r="2872">
      <c r="A2872" s="1">
        <v>2871.0</v>
      </c>
      <c r="B2872" s="1" t="s">
        <v>1841</v>
      </c>
      <c r="C2872" s="1" t="s">
        <v>1623</v>
      </c>
      <c r="D2872" s="1">
        <v>1.0</v>
      </c>
      <c r="E2872" s="1" t="s">
        <v>945</v>
      </c>
      <c r="F2872" s="1">
        <v>26.0</v>
      </c>
    </row>
    <row r="2873">
      <c r="A2873" s="1">
        <v>2872.0</v>
      </c>
      <c r="B2873" s="1" t="s">
        <v>1842</v>
      </c>
      <c r="C2873" s="1" t="s">
        <v>1623</v>
      </c>
      <c r="D2873" s="1">
        <v>1.0</v>
      </c>
      <c r="E2873" s="1" t="s">
        <v>945</v>
      </c>
      <c r="F2873" s="1" t="s">
        <v>1843</v>
      </c>
    </row>
    <row r="2874">
      <c r="A2874" s="1">
        <v>2873.0</v>
      </c>
      <c r="B2874" s="1" t="s">
        <v>1844</v>
      </c>
      <c r="C2874" s="1" t="s">
        <v>1623</v>
      </c>
      <c r="D2874" s="1">
        <v>1.0</v>
      </c>
      <c r="E2874" s="1" t="s">
        <v>945</v>
      </c>
      <c r="F2874" s="1">
        <v>8647.0</v>
      </c>
    </row>
    <row r="2875">
      <c r="A2875" s="1">
        <v>2874.0</v>
      </c>
      <c r="B2875" s="1" t="s">
        <v>1697</v>
      </c>
      <c r="C2875" s="1" t="s">
        <v>1623</v>
      </c>
      <c r="D2875" s="1">
        <v>1.0</v>
      </c>
      <c r="E2875" s="1" t="s">
        <v>945</v>
      </c>
      <c r="F2875" s="1">
        <v>1057575.0</v>
      </c>
    </row>
    <row r="2876">
      <c r="A2876" s="1">
        <v>2875.0</v>
      </c>
      <c r="B2876" s="5" t="s">
        <v>1845</v>
      </c>
      <c r="C2876" s="1" t="s">
        <v>1623</v>
      </c>
      <c r="D2876" s="1">
        <v>1.0</v>
      </c>
      <c r="E2876" s="1" t="s">
        <v>945</v>
      </c>
      <c r="F2876" s="1">
        <v>21.0</v>
      </c>
    </row>
    <row r="2877">
      <c r="A2877" s="1">
        <v>2876.0</v>
      </c>
      <c r="B2877" s="1" t="s">
        <v>1846</v>
      </c>
      <c r="C2877" s="1" t="s">
        <v>1623</v>
      </c>
      <c r="D2877" s="1">
        <v>1.0</v>
      </c>
      <c r="E2877" s="1" t="s">
        <v>945</v>
      </c>
      <c r="F2877" s="1">
        <v>1435687.0</v>
      </c>
    </row>
    <row r="2878">
      <c r="A2878" s="1">
        <v>2877.0</v>
      </c>
      <c r="B2878" s="1" t="s">
        <v>1847</v>
      </c>
      <c r="C2878" s="1" t="s">
        <v>1623</v>
      </c>
      <c r="D2878" s="1">
        <v>1.0</v>
      </c>
      <c r="E2878" s="1" t="s">
        <v>945</v>
      </c>
      <c r="F2878" s="1">
        <v>80718.0</v>
      </c>
    </row>
    <row r="2879">
      <c r="A2879" s="1">
        <v>2878.0</v>
      </c>
      <c r="B2879" s="1" t="s">
        <v>1848</v>
      </c>
      <c r="C2879" s="1" t="s">
        <v>1623</v>
      </c>
      <c r="D2879" s="1">
        <v>1.0</v>
      </c>
      <c r="E2879" s="1" t="s">
        <v>945</v>
      </c>
      <c r="F2879" s="1">
        <v>462321.0</v>
      </c>
    </row>
    <row r="2880">
      <c r="A2880" s="1">
        <v>2879.0</v>
      </c>
      <c r="B2880" s="1" t="s">
        <v>946</v>
      </c>
      <c r="C2880" s="1" t="s">
        <v>1774</v>
      </c>
      <c r="D2880" s="1">
        <v>13.0</v>
      </c>
      <c r="E2880" s="1" t="s">
        <v>945</v>
      </c>
      <c r="F2880" s="1">
        <v>1130000.0</v>
      </c>
    </row>
    <row r="2881">
      <c r="A2881" s="1">
        <v>2880.0</v>
      </c>
      <c r="B2881" s="1" t="s">
        <v>1849</v>
      </c>
      <c r="C2881" s="1" t="s">
        <v>1774</v>
      </c>
      <c r="D2881" s="1">
        <v>3.0</v>
      </c>
      <c r="E2881" s="1" t="s">
        <v>945</v>
      </c>
      <c r="F2881" s="1">
        <v>19118.0</v>
      </c>
    </row>
    <row r="2882">
      <c r="A2882" s="1">
        <v>2881.0</v>
      </c>
      <c r="B2882" s="1" t="s">
        <v>1834</v>
      </c>
      <c r="C2882" s="1" t="s">
        <v>1774</v>
      </c>
      <c r="D2882" s="1">
        <v>2.0</v>
      </c>
      <c r="E2882" s="1" t="s">
        <v>945</v>
      </c>
      <c r="F2882" s="1">
        <v>1335445.0</v>
      </c>
    </row>
    <row r="2883">
      <c r="A2883" s="1">
        <v>2882.0</v>
      </c>
      <c r="B2883" s="1" t="s">
        <v>193</v>
      </c>
      <c r="C2883" s="1" t="s">
        <v>1774</v>
      </c>
      <c r="D2883" s="1">
        <v>1.0</v>
      </c>
      <c r="E2883" s="1" t="s">
        <v>945</v>
      </c>
      <c r="F2883" s="1">
        <v>60.0</v>
      </c>
    </row>
    <row r="2884">
      <c r="A2884" s="1">
        <v>2883.0</v>
      </c>
      <c r="B2884" s="1" t="s">
        <v>1850</v>
      </c>
      <c r="C2884" s="1" t="s">
        <v>1774</v>
      </c>
      <c r="D2884" s="1">
        <v>1.0</v>
      </c>
      <c r="E2884" s="1" t="s">
        <v>945</v>
      </c>
      <c r="F2884" s="1">
        <v>2901309.0</v>
      </c>
    </row>
    <row r="2885">
      <c r="A2885" s="1">
        <v>2884.0</v>
      </c>
      <c r="B2885" s="1" t="s">
        <v>9</v>
      </c>
      <c r="C2885" s="1" t="s">
        <v>1623</v>
      </c>
      <c r="D2885" s="1">
        <v>1.0</v>
      </c>
      <c r="E2885" s="1" t="s">
        <v>945</v>
      </c>
      <c r="F2885" s="1">
        <v>8.0</v>
      </c>
    </row>
    <row r="2886">
      <c r="A2886" s="1">
        <v>2885.0</v>
      </c>
      <c r="B2886" s="1" t="s">
        <v>1851</v>
      </c>
      <c r="C2886" s="1" t="s">
        <v>1623</v>
      </c>
      <c r="D2886" s="1">
        <v>1.0</v>
      </c>
      <c r="E2886" s="1" t="s">
        <v>945</v>
      </c>
      <c r="F2886" s="1">
        <v>9811.0</v>
      </c>
    </row>
    <row r="2887">
      <c r="A2887" s="1">
        <v>2886.0</v>
      </c>
      <c r="B2887" s="1" t="s">
        <v>1852</v>
      </c>
      <c r="C2887" s="1" t="s">
        <v>1623</v>
      </c>
      <c r="D2887" s="1">
        <v>1.0</v>
      </c>
      <c r="E2887" s="1" t="s">
        <v>945</v>
      </c>
      <c r="F2887" s="1">
        <v>0.0</v>
      </c>
    </row>
    <row r="2888">
      <c r="A2888" s="1">
        <v>2887.0</v>
      </c>
      <c r="B2888" s="1" t="s">
        <v>1853</v>
      </c>
      <c r="C2888" s="1" t="s">
        <v>1623</v>
      </c>
      <c r="D2888" s="1">
        <v>1.0</v>
      </c>
      <c r="E2888" s="1" t="s">
        <v>945</v>
      </c>
      <c r="F2888" s="1">
        <v>100743.0</v>
      </c>
    </row>
    <row r="2889">
      <c r="A2889" s="1">
        <v>2888.0</v>
      </c>
      <c r="B2889" s="1" t="s">
        <v>1854</v>
      </c>
      <c r="C2889" s="1" t="s">
        <v>1623</v>
      </c>
      <c r="D2889" s="1">
        <v>1.0</v>
      </c>
      <c r="E2889" s="1" t="s">
        <v>945</v>
      </c>
      <c r="F2889" s="1">
        <v>5167.0</v>
      </c>
    </row>
    <row r="2890">
      <c r="A2890" s="1">
        <v>2889.0</v>
      </c>
      <c r="B2890" s="1" t="s">
        <v>1855</v>
      </c>
      <c r="C2890" s="1" t="s">
        <v>1623</v>
      </c>
      <c r="D2890" s="1">
        <v>1.0</v>
      </c>
      <c r="E2890" s="1" t="s">
        <v>945</v>
      </c>
      <c r="F2890" s="1">
        <v>3762.0</v>
      </c>
    </row>
    <row r="2891">
      <c r="A2891" s="1">
        <v>2890.0</v>
      </c>
      <c r="B2891" s="1" t="s">
        <v>1856</v>
      </c>
      <c r="C2891" s="1" t="s">
        <v>1623</v>
      </c>
      <c r="D2891" s="1">
        <v>1.0</v>
      </c>
      <c r="E2891" s="1" t="s">
        <v>945</v>
      </c>
      <c r="F2891" s="1">
        <v>8145.0</v>
      </c>
    </row>
    <row r="2892">
      <c r="A2892" s="1">
        <v>2891.0</v>
      </c>
      <c r="B2892" s="1" t="s">
        <v>1857</v>
      </c>
      <c r="C2892" s="1" t="s">
        <v>1623</v>
      </c>
      <c r="D2892" s="1">
        <v>1.0</v>
      </c>
      <c r="E2892" s="1" t="s">
        <v>945</v>
      </c>
      <c r="F2892" s="1">
        <v>1587265.0</v>
      </c>
    </row>
    <row r="2893">
      <c r="A2893" s="1">
        <v>2892.0</v>
      </c>
      <c r="B2893" s="1" t="s">
        <v>1858</v>
      </c>
      <c r="C2893" s="1" t="s">
        <v>1859</v>
      </c>
      <c r="D2893" s="1">
        <v>1.0</v>
      </c>
      <c r="E2893" s="1" t="s">
        <v>945</v>
      </c>
      <c r="F2893" s="1">
        <v>23173.0</v>
      </c>
    </row>
    <row r="2894">
      <c r="A2894" s="1">
        <v>2893.0</v>
      </c>
      <c r="B2894" s="1" t="s">
        <v>1860</v>
      </c>
      <c r="C2894" s="1" t="s">
        <v>1859</v>
      </c>
      <c r="D2894" s="1">
        <v>1.0</v>
      </c>
      <c r="E2894" s="1" t="s">
        <v>945</v>
      </c>
      <c r="F2894" s="1">
        <v>5180.0</v>
      </c>
    </row>
    <row r="2895">
      <c r="A2895" s="1">
        <v>2894.0</v>
      </c>
      <c r="B2895" s="1" t="s">
        <v>966</v>
      </c>
      <c r="C2895" s="1" t="s">
        <v>1861</v>
      </c>
      <c r="D2895" s="1">
        <v>1.0</v>
      </c>
      <c r="E2895" s="1" t="s">
        <v>945</v>
      </c>
      <c r="F2895" s="1">
        <v>751286.0</v>
      </c>
    </row>
    <row r="2896">
      <c r="A2896" s="1">
        <v>2895.0</v>
      </c>
      <c r="B2896" s="1" t="s">
        <v>1805</v>
      </c>
      <c r="C2896" s="1" t="s">
        <v>1861</v>
      </c>
      <c r="D2896" s="1">
        <v>1.0</v>
      </c>
      <c r="E2896" s="1" t="s">
        <v>945</v>
      </c>
      <c r="F2896" s="1">
        <v>410952.0</v>
      </c>
    </row>
    <row r="2897">
      <c r="A2897" s="1">
        <v>2896.0</v>
      </c>
      <c r="B2897" s="1" t="s">
        <v>698</v>
      </c>
      <c r="C2897" s="1" t="s">
        <v>1623</v>
      </c>
      <c r="D2897" s="1">
        <v>1.0</v>
      </c>
      <c r="E2897" s="1" t="s">
        <v>945</v>
      </c>
      <c r="F2897" s="1">
        <v>939843.0</v>
      </c>
    </row>
  </sheetData>
  <hyperlinks>
    <hyperlink r:id="rId1" ref="B205"/>
    <hyperlink r:id="rId2" ref="B267"/>
    <hyperlink r:id="rId3" ref="B303"/>
    <hyperlink r:id="rId4" ref="B373"/>
    <hyperlink r:id="rId5" ref="B377"/>
    <hyperlink r:id="rId6" ref="B380"/>
    <hyperlink r:id="rId7" ref="B453"/>
    <hyperlink r:id="rId8" ref="B496"/>
    <hyperlink r:id="rId9" ref="B544"/>
    <hyperlink r:id="rId10" ref="B764"/>
    <hyperlink r:id="rId11" ref="B766"/>
    <hyperlink r:id="rId12" ref="B771"/>
    <hyperlink r:id="rId13" ref="B825"/>
    <hyperlink r:id="rId14" ref="B991"/>
    <hyperlink r:id="rId15" ref="B1038"/>
    <hyperlink r:id="rId16" ref="B1040"/>
    <hyperlink r:id="rId17" ref="B1095"/>
    <hyperlink r:id="rId18" ref="B1157"/>
    <hyperlink r:id="rId19" ref="B1174"/>
    <hyperlink r:id="rId20" ref="B1262"/>
    <hyperlink r:id="rId21" ref="B1326"/>
    <hyperlink r:id="rId22" ref="B1706"/>
    <hyperlink r:id="rId23" ref="B1764"/>
    <hyperlink r:id="rId24" ref="B1888"/>
    <hyperlink r:id="rId25" ref="B1952"/>
    <hyperlink r:id="rId26" ref="B1968"/>
    <hyperlink r:id="rId27" ref="B2056"/>
    <hyperlink r:id="rId28" ref="B2150"/>
    <hyperlink r:id="rId29" ref="B2429"/>
    <hyperlink r:id="rId30" ref="B2462"/>
    <hyperlink r:id="rId31" ref="B2506"/>
    <hyperlink r:id="rId32" ref="B2521"/>
    <hyperlink r:id="rId33" ref="B2604"/>
    <hyperlink r:id="rId34" ref="B2605"/>
    <hyperlink r:id="rId35" ref="B2609"/>
    <hyperlink r:id="rId36" ref="B2876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IFERROR(__xludf.DUMMYFUNCTION("QUERY({Salary!A2:F2897},""select Col6 label Col6 'Salary'"",0)"),"Salary")</f>
        <v>Salary</v>
      </c>
    </row>
    <row r="2">
      <c r="A2" s="3">
        <f>IFERROR(__xludf.DUMMYFUNCTION("""COMPUTED_VALUE"""),648573.0)</f>
        <v>648573</v>
      </c>
    </row>
    <row r="3">
      <c r="A3" s="3">
        <f>IFERROR(__xludf.DUMMYFUNCTION("""COMPUTED_VALUE"""),1191950.0)</f>
        <v>1191950</v>
      </c>
    </row>
    <row r="4">
      <c r="A4" s="3">
        <f>IFERROR(__xludf.DUMMYFUNCTION("""COMPUTED_VALUE"""),836874.0)</f>
        <v>836874</v>
      </c>
    </row>
    <row r="5">
      <c r="A5" s="3">
        <f>IFERROR(__xludf.DUMMYFUNCTION("""COMPUTED_VALUE"""),669578.0)</f>
        <v>669578</v>
      </c>
    </row>
    <row r="6">
      <c r="A6" s="3">
        <f>IFERROR(__xludf.DUMMYFUNCTION("""COMPUTED_VALUE"""),944110.0)</f>
        <v>944110</v>
      </c>
    </row>
    <row r="7">
      <c r="A7" s="3">
        <f>IFERROR(__xludf.DUMMYFUNCTION("""COMPUTED_VALUE"""),908764.0)</f>
        <v>908764</v>
      </c>
    </row>
    <row r="8">
      <c r="A8" s="3">
        <f>IFERROR(__xludf.DUMMYFUNCTION("""COMPUTED_VALUE"""),926124.0)</f>
        <v>926124</v>
      </c>
    </row>
    <row r="9">
      <c r="A9" s="3">
        <f>IFERROR(__xludf.DUMMYFUNCTION("""COMPUTED_VALUE"""),736708.0)</f>
        <v>736708</v>
      </c>
    </row>
    <row r="10">
      <c r="A10" s="3">
        <f>IFERROR(__xludf.DUMMYFUNCTION("""COMPUTED_VALUE"""),1646721.0)</f>
        <v>1646721</v>
      </c>
    </row>
    <row r="11">
      <c r="A11" s="3">
        <f>IFERROR(__xludf.DUMMYFUNCTION("""COMPUTED_VALUE"""),1392960.0)</f>
        <v>1392960</v>
      </c>
    </row>
    <row r="12">
      <c r="A12" s="3">
        <f>IFERROR(__xludf.DUMMYFUNCTION("""COMPUTED_VALUE"""),1404773.0)</f>
        <v>1404773</v>
      </c>
    </row>
    <row r="13">
      <c r="A13" s="3">
        <f>IFERROR(__xludf.DUMMYFUNCTION("""COMPUTED_VALUE"""),2557843.0)</f>
        <v>2557843</v>
      </c>
    </row>
    <row r="14">
      <c r="A14" s="3">
        <f>IFERROR(__xludf.DUMMYFUNCTION("""COMPUTED_VALUE"""),1510081.0)</f>
        <v>1510081</v>
      </c>
    </row>
    <row r="15">
      <c r="A15" s="3">
        <f>IFERROR(__xludf.DUMMYFUNCTION("""COMPUTED_VALUE"""),732821.0)</f>
        <v>732821</v>
      </c>
    </row>
    <row r="16">
      <c r="A16" s="3">
        <f>IFERROR(__xludf.DUMMYFUNCTION("""COMPUTED_VALUE"""),1124939.0)</f>
        <v>1124939</v>
      </c>
    </row>
    <row r="17">
      <c r="A17" s="3">
        <f>IFERROR(__xludf.DUMMYFUNCTION("""COMPUTED_VALUE"""),1630396.0)</f>
        <v>1630396</v>
      </c>
    </row>
    <row r="18">
      <c r="A18" s="3">
        <f>IFERROR(__xludf.DUMMYFUNCTION("""COMPUTED_VALUE"""),550980.0)</f>
        <v>550980</v>
      </c>
    </row>
    <row r="19">
      <c r="A19" s="3">
        <f>IFERROR(__xludf.DUMMYFUNCTION("""COMPUTED_VALUE"""),1870000.0)</f>
        <v>1870000</v>
      </c>
    </row>
    <row r="20">
      <c r="A20" s="3">
        <f>IFERROR(__xludf.DUMMYFUNCTION("""COMPUTED_VALUE"""),758376.0)</f>
        <v>758376</v>
      </c>
    </row>
    <row r="21">
      <c r="A21" s="3">
        <f>IFERROR(__xludf.DUMMYFUNCTION("""COMPUTED_VALUE"""),1556575.0)</f>
        <v>1556575</v>
      </c>
    </row>
    <row r="22">
      <c r="A22" s="3">
        <f>IFERROR(__xludf.DUMMYFUNCTION("""COMPUTED_VALUE"""),1194327.0)</f>
        <v>1194327</v>
      </c>
    </row>
    <row r="23">
      <c r="A23" s="3">
        <f>IFERROR(__xludf.DUMMYFUNCTION("""COMPUTED_VALUE"""),1470000.0)</f>
        <v>1470000</v>
      </c>
    </row>
    <row r="24">
      <c r="A24" s="3">
        <f>IFERROR(__xludf.DUMMYFUNCTION("""COMPUTED_VALUE"""),1549942.0)</f>
        <v>1549942</v>
      </c>
    </row>
    <row r="25">
      <c r="A25" s="3">
        <f>IFERROR(__xludf.DUMMYFUNCTION("""COMPUTED_VALUE"""),1541572.0)</f>
        <v>1541572</v>
      </c>
    </row>
    <row r="26">
      <c r="A26" s="3">
        <f>IFERROR(__xludf.DUMMYFUNCTION("""COMPUTED_VALUE"""),205.0)</f>
        <v>205</v>
      </c>
    </row>
    <row r="27">
      <c r="A27" s="3">
        <f>IFERROR(__xludf.DUMMYFUNCTION("""COMPUTED_VALUE"""),27.0)</f>
        <v>27</v>
      </c>
    </row>
    <row r="28">
      <c r="A28" s="3">
        <f>IFERROR(__xludf.DUMMYFUNCTION("""COMPUTED_VALUE"""),1923257.0)</f>
        <v>1923257</v>
      </c>
    </row>
    <row r="29">
      <c r="A29" s="3">
        <f>IFERROR(__xludf.DUMMYFUNCTION("""COMPUTED_VALUE"""),2143501.0)</f>
        <v>2143501</v>
      </c>
    </row>
    <row r="30">
      <c r="A30" s="3">
        <f>IFERROR(__xludf.DUMMYFUNCTION("""COMPUTED_VALUE"""),926.0)</f>
        <v>926</v>
      </c>
    </row>
    <row r="31">
      <c r="A31" s="3">
        <f>IFERROR(__xludf.DUMMYFUNCTION("""COMPUTED_VALUE"""),1294984.0)</f>
        <v>1294984</v>
      </c>
    </row>
    <row r="32">
      <c r="A32" s="3">
        <f>IFERROR(__xludf.DUMMYFUNCTION("""COMPUTED_VALUE"""),2334960.0)</f>
        <v>2334960</v>
      </c>
    </row>
    <row r="33">
      <c r="A33" s="3">
        <f>IFERROR(__xludf.DUMMYFUNCTION("""COMPUTED_VALUE"""),2267616.0)</f>
        <v>2267616</v>
      </c>
    </row>
    <row r="34">
      <c r="A34" s="3">
        <f>IFERROR(__xludf.DUMMYFUNCTION("""COMPUTED_VALUE"""),1366992.0)</f>
        <v>1366992</v>
      </c>
    </row>
    <row r="35">
      <c r="A35" s="3">
        <f>IFERROR(__xludf.DUMMYFUNCTION("""COMPUTED_VALUE"""),1453427.0)</f>
        <v>1453427</v>
      </c>
    </row>
    <row r="36">
      <c r="A36" s="3">
        <f>IFERROR(__xludf.DUMMYFUNCTION("""COMPUTED_VALUE"""),1458032.0)</f>
        <v>1458032</v>
      </c>
    </row>
    <row r="37">
      <c r="A37" s="3">
        <f>IFERROR(__xludf.DUMMYFUNCTION("""COMPUTED_VALUE"""),1730166.0)</f>
        <v>1730166</v>
      </c>
    </row>
    <row r="38">
      <c r="A38" s="3">
        <f>IFERROR(__xludf.DUMMYFUNCTION("""COMPUTED_VALUE"""),658109.0)</f>
        <v>658109</v>
      </c>
    </row>
    <row r="39">
      <c r="A39" s="3">
        <f>IFERROR(__xludf.DUMMYFUNCTION("""COMPUTED_VALUE"""),794460.0)</f>
        <v>794460</v>
      </c>
    </row>
    <row r="40">
      <c r="A40" s="3">
        <f>IFERROR(__xludf.DUMMYFUNCTION("""COMPUTED_VALUE"""),2567381.0)</f>
        <v>2567381</v>
      </c>
    </row>
    <row r="41">
      <c r="A41" s="3">
        <f>IFERROR(__xludf.DUMMYFUNCTION("""COMPUTED_VALUE"""),1637231.0)</f>
        <v>1637231</v>
      </c>
    </row>
    <row r="42">
      <c r="A42" s="3">
        <f>IFERROR(__xludf.DUMMYFUNCTION("""COMPUTED_VALUE"""),902935.0)</f>
        <v>902935</v>
      </c>
    </row>
    <row r="43">
      <c r="A43" s="3">
        <f>IFERROR(__xludf.DUMMYFUNCTION("""COMPUTED_VALUE"""),970782.0)</f>
        <v>970782</v>
      </c>
    </row>
    <row r="44">
      <c r="A44" s="3">
        <f>IFERROR(__xludf.DUMMYFUNCTION("""COMPUTED_VALUE"""),50.0)</f>
        <v>50</v>
      </c>
    </row>
    <row r="45">
      <c r="A45" s="3">
        <f>IFERROR(__xludf.DUMMYFUNCTION("""COMPUTED_VALUE"""),2119584.0)</f>
        <v>2119584</v>
      </c>
    </row>
    <row r="46">
      <c r="A46" s="3">
        <f>IFERROR(__xludf.DUMMYFUNCTION("""COMPUTED_VALUE"""),465.0)</f>
        <v>465</v>
      </c>
    </row>
    <row r="47">
      <c r="A47" s="3">
        <f>IFERROR(__xludf.DUMMYFUNCTION("""COMPUTED_VALUE"""),2624063.0)</f>
        <v>2624063</v>
      </c>
    </row>
    <row r="48">
      <c r="A48" s="3">
        <f>IFERROR(__xludf.DUMMYFUNCTION("""COMPUTED_VALUE"""),955297.0)</f>
        <v>955297</v>
      </c>
    </row>
    <row r="49">
      <c r="A49" s="3">
        <f>IFERROR(__xludf.DUMMYFUNCTION("""COMPUTED_VALUE"""),761478.0)</f>
        <v>761478</v>
      </c>
    </row>
    <row r="50">
      <c r="A50" s="3">
        <f>IFERROR(__xludf.DUMMYFUNCTION("""COMPUTED_VALUE"""),2805476.0)</f>
        <v>2805476</v>
      </c>
    </row>
    <row r="51">
      <c r="A51" s="3">
        <f>IFERROR(__xludf.DUMMYFUNCTION("""COMPUTED_VALUE"""),969112.0)</f>
        <v>969112</v>
      </c>
    </row>
    <row r="52">
      <c r="A52" s="3">
        <f>IFERROR(__xludf.DUMMYFUNCTION("""COMPUTED_VALUE"""),450979.0)</f>
        <v>450979</v>
      </c>
    </row>
    <row r="53">
      <c r="A53" s="3">
        <f>IFERROR(__xludf.DUMMYFUNCTION("""COMPUTED_VALUE"""),1338795.0)</f>
        <v>1338795</v>
      </c>
    </row>
    <row r="54">
      <c r="A54" s="3">
        <f>IFERROR(__xludf.DUMMYFUNCTION("""COMPUTED_VALUE"""),1040493.0)</f>
        <v>1040493</v>
      </c>
    </row>
    <row r="55">
      <c r="A55" s="3">
        <f>IFERROR(__xludf.DUMMYFUNCTION("""COMPUTED_VALUE"""),1291549.0)</f>
        <v>1291549</v>
      </c>
    </row>
    <row r="56">
      <c r="A56" s="3">
        <f>IFERROR(__xludf.DUMMYFUNCTION("""COMPUTED_VALUE"""),49928.0)</f>
        <v>49928</v>
      </c>
    </row>
    <row r="57">
      <c r="A57" s="3">
        <f>IFERROR(__xludf.DUMMYFUNCTION("""COMPUTED_VALUE"""),1663189.0)</f>
        <v>1663189</v>
      </c>
    </row>
    <row r="58">
      <c r="A58" s="3">
        <f>IFERROR(__xludf.DUMMYFUNCTION("""COMPUTED_VALUE"""),1323387.0)</f>
        <v>1323387</v>
      </c>
    </row>
    <row r="59">
      <c r="A59" s="3">
        <f>IFERROR(__xludf.DUMMYFUNCTION("""COMPUTED_VALUE"""),1246266.0)</f>
        <v>1246266</v>
      </c>
    </row>
    <row r="60">
      <c r="A60" s="3">
        <f>IFERROR(__xludf.DUMMYFUNCTION("""COMPUTED_VALUE"""),494147.0)</f>
        <v>494147</v>
      </c>
    </row>
    <row r="61">
      <c r="A61" s="3">
        <f>IFERROR(__xludf.DUMMYFUNCTION("""COMPUTED_VALUE"""),1892758.0)</f>
        <v>1892758</v>
      </c>
    </row>
    <row r="62">
      <c r="A62" s="3">
        <f>IFERROR(__xludf.DUMMYFUNCTION("""COMPUTED_VALUE"""),1572054.0)</f>
        <v>1572054</v>
      </c>
    </row>
    <row r="63">
      <c r="A63" s="3">
        <f>IFERROR(__xludf.DUMMYFUNCTION("""COMPUTED_VALUE"""),2024533.0)</f>
        <v>2024533</v>
      </c>
    </row>
    <row r="64">
      <c r="A64" s="3">
        <f>IFERROR(__xludf.DUMMYFUNCTION("""COMPUTED_VALUE"""),1927564.0)</f>
        <v>1927564</v>
      </c>
    </row>
    <row r="65">
      <c r="A65" s="3">
        <f>IFERROR(__xludf.DUMMYFUNCTION("""COMPUTED_VALUE"""),831462.0)</f>
        <v>831462</v>
      </c>
    </row>
    <row r="66">
      <c r="A66" s="3">
        <f>IFERROR(__xludf.DUMMYFUNCTION("""COMPUTED_VALUE"""),516323.0)</f>
        <v>516323</v>
      </c>
    </row>
    <row r="67">
      <c r="A67" s="3">
        <f>IFERROR(__xludf.DUMMYFUNCTION("""COMPUTED_VALUE"""),2333241.0)</f>
        <v>2333241</v>
      </c>
    </row>
    <row r="68">
      <c r="A68" s="3">
        <f>IFERROR(__xludf.DUMMYFUNCTION("""COMPUTED_VALUE"""),2006522.0)</f>
        <v>2006522</v>
      </c>
    </row>
    <row r="69">
      <c r="A69" s="3">
        <f>IFERROR(__xludf.DUMMYFUNCTION("""COMPUTED_VALUE"""),2160000.0)</f>
        <v>2160000</v>
      </c>
    </row>
    <row r="70">
      <c r="A70" s="3">
        <f>IFERROR(__xludf.DUMMYFUNCTION("""COMPUTED_VALUE"""),1341316.0)</f>
        <v>1341316</v>
      </c>
    </row>
    <row r="71">
      <c r="A71" s="3">
        <f>IFERROR(__xludf.DUMMYFUNCTION("""COMPUTED_VALUE"""),1634105.0)</f>
        <v>1634105</v>
      </c>
    </row>
    <row r="72">
      <c r="A72" s="3">
        <f>IFERROR(__xludf.DUMMYFUNCTION("""COMPUTED_VALUE"""),1389256.0)</f>
        <v>1389256</v>
      </c>
    </row>
    <row r="73">
      <c r="A73" s="3">
        <f>IFERROR(__xludf.DUMMYFUNCTION("""COMPUTED_VALUE"""),1231116.0)</f>
        <v>1231116</v>
      </c>
    </row>
    <row r="74">
      <c r="A74" s="3">
        <f>IFERROR(__xludf.DUMMYFUNCTION("""COMPUTED_VALUE"""),2352941.0)</f>
        <v>2352941</v>
      </c>
    </row>
    <row r="75">
      <c r="A75" s="3">
        <f>IFERROR(__xludf.DUMMYFUNCTION("""COMPUTED_VALUE"""),744551.0)</f>
        <v>744551</v>
      </c>
    </row>
    <row r="76">
      <c r="A76" s="3">
        <f>IFERROR(__xludf.DUMMYFUNCTION("""COMPUTED_VALUE"""),3014686.0)</f>
        <v>3014686</v>
      </c>
    </row>
    <row r="77">
      <c r="A77" s="3">
        <f>IFERROR(__xludf.DUMMYFUNCTION("""COMPUTED_VALUE"""),1357204.0)</f>
        <v>1357204</v>
      </c>
    </row>
    <row r="78">
      <c r="A78" s="3">
        <f>IFERROR(__xludf.DUMMYFUNCTION("""COMPUTED_VALUE"""),1053196.0)</f>
        <v>1053196</v>
      </c>
    </row>
    <row r="79">
      <c r="A79" s="3">
        <f>IFERROR(__xludf.DUMMYFUNCTION("""COMPUTED_VALUE"""),1337606.0)</f>
        <v>1337606</v>
      </c>
    </row>
    <row r="80">
      <c r="A80" s="3">
        <f>IFERROR(__xludf.DUMMYFUNCTION("""COMPUTED_VALUE"""),48825.0)</f>
        <v>48825</v>
      </c>
    </row>
    <row r="81">
      <c r="A81" s="3">
        <f>IFERROR(__xludf.DUMMYFUNCTION("""COMPUTED_VALUE"""),32953.0)</f>
        <v>32953</v>
      </c>
    </row>
    <row r="82">
      <c r="A82" s="3">
        <f>IFERROR(__xludf.DUMMYFUNCTION("""COMPUTED_VALUE"""),1649930.0)</f>
        <v>1649930</v>
      </c>
    </row>
    <row r="83">
      <c r="A83" s="3">
        <f>IFERROR(__xludf.DUMMYFUNCTION("""COMPUTED_VALUE"""),1138060.0)</f>
        <v>1138060</v>
      </c>
    </row>
    <row r="84">
      <c r="A84" s="3">
        <f>IFERROR(__xludf.DUMMYFUNCTION("""COMPUTED_VALUE"""),1612744.0)</f>
        <v>1612744</v>
      </c>
    </row>
    <row r="85">
      <c r="A85" s="3">
        <f>IFERROR(__xludf.DUMMYFUNCTION("""COMPUTED_VALUE"""),432776.0)</f>
        <v>432776</v>
      </c>
    </row>
    <row r="86">
      <c r="A86" s="3">
        <f>IFERROR(__xludf.DUMMYFUNCTION("""COMPUTED_VALUE"""),987471.0)</f>
        <v>987471</v>
      </c>
    </row>
    <row r="87">
      <c r="A87" s="3">
        <f>IFERROR(__xludf.DUMMYFUNCTION("""COMPUTED_VALUE"""),1512297.0)</f>
        <v>1512297</v>
      </c>
    </row>
    <row r="88">
      <c r="A88" s="3">
        <f>IFERROR(__xludf.DUMMYFUNCTION("""COMPUTED_VALUE"""),1752935.0)</f>
        <v>1752935</v>
      </c>
    </row>
    <row r="89">
      <c r="A89" s="3">
        <f>IFERROR(__xludf.DUMMYFUNCTION("""COMPUTED_VALUE"""),1197944.0)</f>
        <v>1197944</v>
      </c>
    </row>
    <row r="90">
      <c r="A90" s="3">
        <f>IFERROR(__xludf.DUMMYFUNCTION("""COMPUTED_VALUE"""),76962.0)</f>
        <v>76962</v>
      </c>
    </row>
    <row r="91">
      <c r="A91" s="3">
        <f>IFERROR(__xludf.DUMMYFUNCTION("""COMPUTED_VALUE"""),587146.0)</f>
        <v>587146</v>
      </c>
    </row>
    <row r="92">
      <c r="A92" s="3">
        <f>IFERROR(__xludf.DUMMYFUNCTION("""COMPUTED_VALUE"""),977543.0)</f>
        <v>977543</v>
      </c>
    </row>
    <row r="93">
      <c r="A93" s="3">
        <f>IFERROR(__xludf.DUMMYFUNCTION("""COMPUTED_VALUE"""),649755.0)</f>
        <v>649755</v>
      </c>
    </row>
    <row r="94">
      <c r="A94" s="3">
        <f>IFERROR(__xludf.DUMMYFUNCTION("""COMPUTED_VALUE"""),1177531.0)</f>
        <v>1177531</v>
      </c>
    </row>
    <row r="95">
      <c r="A95" s="3">
        <f>IFERROR(__xludf.DUMMYFUNCTION("""COMPUTED_VALUE"""),1194925.0)</f>
        <v>1194925</v>
      </c>
    </row>
    <row r="96">
      <c r="A96" s="3">
        <f>IFERROR(__xludf.DUMMYFUNCTION("""COMPUTED_VALUE"""),1693208.0)</f>
        <v>1693208</v>
      </c>
    </row>
    <row r="97">
      <c r="A97" s="3">
        <f>IFERROR(__xludf.DUMMYFUNCTION("""COMPUTED_VALUE"""),414817.0)</f>
        <v>414817</v>
      </c>
    </row>
    <row r="98">
      <c r="A98" s="3">
        <f>IFERROR(__xludf.DUMMYFUNCTION("""COMPUTED_VALUE"""),704193.0)</f>
        <v>704193</v>
      </c>
    </row>
    <row r="99">
      <c r="A99" s="3">
        <f>IFERROR(__xludf.DUMMYFUNCTION("""COMPUTED_VALUE"""),590000.0)</f>
        <v>590000</v>
      </c>
    </row>
    <row r="100">
      <c r="A100" s="3">
        <f>IFERROR(__xludf.DUMMYFUNCTION("""COMPUTED_VALUE"""),1119069.0)</f>
        <v>1119069</v>
      </c>
    </row>
    <row r="101">
      <c r="A101" s="3">
        <f>IFERROR(__xludf.DUMMYFUNCTION("""COMPUTED_VALUE"""),669225.0)</f>
        <v>669225</v>
      </c>
    </row>
    <row r="102">
      <c r="A102" s="3">
        <f>IFERROR(__xludf.DUMMYFUNCTION("""COMPUTED_VALUE"""),840000.0)</f>
        <v>840000</v>
      </c>
    </row>
    <row r="103">
      <c r="A103" s="3">
        <f>IFERROR(__xludf.DUMMYFUNCTION("""COMPUTED_VALUE"""),761610.0)</f>
        <v>761610</v>
      </c>
    </row>
    <row r="104">
      <c r="A104" s="3">
        <f>IFERROR(__xludf.DUMMYFUNCTION("""COMPUTED_VALUE"""),1670405.0)</f>
        <v>1670405</v>
      </c>
    </row>
    <row r="105">
      <c r="A105" s="3">
        <f>IFERROR(__xludf.DUMMYFUNCTION("""COMPUTED_VALUE"""),1653106.0)</f>
        <v>1653106</v>
      </c>
    </row>
    <row r="106">
      <c r="A106" s="3">
        <f>IFERROR(__xludf.DUMMYFUNCTION("""COMPUTED_VALUE"""),385393.0)</f>
        <v>385393</v>
      </c>
    </row>
    <row r="107">
      <c r="A107" s="3">
        <f>IFERROR(__xludf.DUMMYFUNCTION("""COMPUTED_VALUE"""),2600000.0)</f>
        <v>2600000</v>
      </c>
    </row>
    <row r="108">
      <c r="A108" s="3">
        <f>IFERROR(__xludf.DUMMYFUNCTION("""COMPUTED_VALUE"""),1859109.0)</f>
        <v>1859109</v>
      </c>
    </row>
    <row r="109">
      <c r="A109" s="3">
        <f>IFERROR(__xludf.DUMMYFUNCTION("""COMPUTED_VALUE"""),669785.0)</f>
        <v>669785</v>
      </c>
    </row>
    <row r="110">
      <c r="A110" s="3">
        <f>IFERROR(__xludf.DUMMYFUNCTION("""COMPUTED_VALUE"""),205.0)</f>
        <v>205</v>
      </c>
    </row>
    <row r="111">
      <c r="A111" s="3">
        <f>IFERROR(__xludf.DUMMYFUNCTION("""COMPUTED_VALUE"""),1180355.0)</f>
        <v>1180355</v>
      </c>
    </row>
    <row r="112">
      <c r="A112" s="3">
        <f>IFERROR(__xludf.DUMMYFUNCTION("""COMPUTED_VALUE"""),3812913.0)</f>
        <v>3812913</v>
      </c>
    </row>
    <row r="113">
      <c r="A113" s="3">
        <f>IFERROR(__xludf.DUMMYFUNCTION("""COMPUTED_VALUE"""),2873437.0)</f>
        <v>2873437</v>
      </c>
    </row>
    <row r="114">
      <c r="A114" s="3">
        <f>IFERROR(__xludf.DUMMYFUNCTION("""COMPUTED_VALUE"""),899123.0)</f>
        <v>899123</v>
      </c>
    </row>
    <row r="115">
      <c r="A115" s="3">
        <f>IFERROR(__xludf.DUMMYFUNCTION("""COMPUTED_VALUE"""),825077.0)</f>
        <v>825077</v>
      </c>
    </row>
    <row r="116">
      <c r="A116" s="3">
        <f>IFERROR(__xludf.DUMMYFUNCTION("""COMPUTED_VALUE"""),207.0)</f>
        <v>207</v>
      </c>
    </row>
    <row r="117">
      <c r="A117" s="3">
        <f>IFERROR(__xludf.DUMMYFUNCTION("""COMPUTED_VALUE"""),1526335.0)</f>
        <v>1526335</v>
      </c>
    </row>
    <row r="118">
      <c r="A118" s="3">
        <f>IFERROR(__xludf.DUMMYFUNCTION("""COMPUTED_VALUE"""),2875549.0)</f>
        <v>2875549</v>
      </c>
    </row>
    <row r="119">
      <c r="A119" s="3">
        <f>IFERROR(__xludf.DUMMYFUNCTION("""COMPUTED_VALUE"""),36120.0)</f>
        <v>36120</v>
      </c>
    </row>
    <row r="120">
      <c r="A120" s="3">
        <f>IFERROR(__xludf.DUMMYFUNCTION("""COMPUTED_VALUE"""),1615535.0)</f>
        <v>1615535</v>
      </c>
    </row>
    <row r="121">
      <c r="A121" s="3">
        <f>IFERROR(__xludf.DUMMYFUNCTION("""COMPUTED_VALUE"""),1352802.0)</f>
        <v>1352802</v>
      </c>
    </row>
    <row r="122">
      <c r="A122" s="3">
        <f>IFERROR(__xludf.DUMMYFUNCTION("""COMPUTED_VALUE"""),148.0)</f>
        <v>148</v>
      </c>
    </row>
    <row r="123">
      <c r="A123" s="3">
        <f>IFERROR(__xludf.DUMMYFUNCTION("""COMPUTED_VALUE"""),25581.0)</f>
        <v>25581</v>
      </c>
    </row>
    <row r="124">
      <c r="A124" s="3">
        <f>IFERROR(__xludf.DUMMYFUNCTION("""COMPUTED_VALUE"""),347924.0)</f>
        <v>347924</v>
      </c>
    </row>
    <row r="125">
      <c r="A125" s="3">
        <f>IFERROR(__xludf.DUMMYFUNCTION("""COMPUTED_VALUE"""),105.0)</f>
        <v>105</v>
      </c>
    </row>
    <row r="126">
      <c r="A126" s="3">
        <f>IFERROR(__xludf.DUMMYFUNCTION("""COMPUTED_VALUE"""),1879205.0)</f>
        <v>1879205</v>
      </c>
    </row>
    <row r="127">
      <c r="A127" s="3">
        <f>IFERROR(__xludf.DUMMYFUNCTION("""COMPUTED_VALUE"""),273000.0)</f>
        <v>273000</v>
      </c>
    </row>
    <row r="128">
      <c r="A128" s="3">
        <f>IFERROR(__xludf.DUMMYFUNCTION("""COMPUTED_VALUE"""),1007628.0)</f>
        <v>1007628</v>
      </c>
    </row>
    <row r="129">
      <c r="A129" s="3">
        <f>IFERROR(__xludf.DUMMYFUNCTION("""COMPUTED_VALUE"""),1254416.0)</f>
        <v>1254416</v>
      </c>
    </row>
    <row r="130">
      <c r="A130" s="3">
        <f>IFERROR(__xludf.DUMMYFUNCTION("""COMPUTED_VALUE"""),324000.0)</f>
        <v>324000</v>
      </c>
    </row>
    <row r="131">
      <c r="A131" s="3">
        <f>IFERROR(__xludf.DUMMYFUNCTION("""COMPUTED_VALUE"""),362209.0)</f>
        <v>362209</v>
      </c>
    </row>
    <row r="132">
      <c r="A132" s="3">
        <f>IFERROR(__xludf.DUMMYFUNCTION("""COMPUTED_VALUE"""),349.0)</f>
        <v>349</v>
      </c>
    </row>
    <row r="133">
      <c r="A133" s="3">
        <f>IFERROR(__xludf.DUMMYFUNCTION("""COMPUTED_VALUE"""),1923665.0)</f>
        <v>1923665</v>
      </c>
    </row>
    <row r="134">
      <c r="A134" s="3">
        <f>IFERROR(__xludf.DUMMYFUNCTION("""COMPUTED_VALUE"""),1171687.0)</f>
        <v>1171687</v>
      </c>
    </row>
    <row r="135">
      <c r="A135" s="3">
        <f>IFERROR(__xludf.DUMMYFUNCTION("""COMPUTED_VALUE"""),93234.0)</f>
        <v>93234</v>
      </c>
    </row>
    <row r="136">
      <c r="A136" s="3">
        <f>IFERROR(__xludf.DUMMYFUNCTION("""COMPUTED_VALUE"""),2839076.0)</f>
        <v>2839076</v>
      </c>
    </row>
    <row r="137">
      <c r="A137" s="3">
        <f>IFERROR(__xludf.DUMMYFUNCTION("""COMPUTED_VALUE"""),1438576.0)</f>
        <v>1438576</v>
      </c>
    </row>
    <row r="138">
      <c r="A138" s="3">
        <f>IFERROR(__xludf.DUMMYFUNCTION("""COMPUTED_VALUE"""),1930235.0)</f>
        <v>1930235</v>
      </c>
    </row>
    <row r="139">
      <c r="A139" s="3">
        <f>IFERROR(__xludf.DUMMYFUNCTION("""COMPUTED_VALUE"""),1149607.0)</f>
        <v>1149607</v>
      </c>
    </row>
    <row r="140">
      <c r="A140" s="3">
        <f>IFERROR(__xludf.DUMMYFUNCTION("""COMPUTED_VALUE"""),1407768.0)</f>
        <v>1407768</v>
      </c>
    </row>
    <row r="141">
      <c r="A141" s="3">
        <f>IFERROR(__xludf.DUMMYFUNCTION("""COMPUTED_VALUE"""),961306.0)</f>
        <v>961306</v>
      </c>
    </row>
    <row r="142">
      <c r="A142" s="3">
        <f>IFERROR(__xludf.DUMMYFUNCTION("""COMPUTED_VALUE"""),43047.0)</f>
        <v>43047</v>
      </c>
    </row>
    <row r="143">
      <c r="A143" s="3">
        <f>IFERROR(__xludf.DUMMYFUNCTION("""COMPUTED_VALUE"""),2315641.0)</f>
        <v>2315641</v>
      </c>
    </row>
    <row r="144">
      <c r="A144" s="3">
        <f>IFERROR(__xludf.DUMMYFUNCTION("""COMPUTED_VALUE"""),2472920.0)</f>
        <v>2472920</v>
      </c>
    </row>
    <row r="145">
      <c r="A145" s="3">
        <f>IFERROR(__xludf.DUMMYFUNCTION("""COMPUTED_VALUE"""),496798.0)</f>
        <v>496798</v>
      </c>
    </row>
    <row r="146">
      <c r="A146" s="3">
        <f>IFERROR(__xludf.DUMMYFUNCTION("""COMPUTED_VALUE"""),64222.0)</f>
        <v>64222</v>
      </c>
    </row>
    <row r="147">
      <c r="A147" s="3">
        <f>IFERROR(__xludf.DUMMYFUNCTION("""COMPUTED_VALUE"""),2420967.0)</f>
        <v>2420967</v>
      </c>
    </row>
    <row r="148">
      <c r="A148" s="3">
        <f>IFERROR(__xludf.DUMMYFUNCTION("""COMPUTED_VALUE"""),2079353.0)</f>
        <v>2079353</v>
      </c>
    </row>
    <row r="149">
      <c r="A149" s="3">
        <f>IFERROR(__xludf.DUMMYFUNCTION("""COMPUTED_VALUE"""),1207396.0)</f>
        <v>1207396</v>
      </c>
    </row>
    <row r="150">
      <c r="A150" s="3">
        <f>IFERROR(__xludf.DUMMYFUNCTION("""COMPUTED_VALUE"""),75372.0)</f>
        <v>75372</v>
      </c>
    </row>
    <row r="151">
      <c r="A151" s="3">
        <f>IFERROR(__xludf.DUMMYFUNCTION("""COMPUTED_VALUE"""),1825549.0)</f>
        <v>1825549</v>
      </c>
    </row>
    <row r="152">
      <c r="A152" s="3">
        <f>IFERROR(__xludf.DUMMYFUNCTION("""COMPUTED_VALUE"""),37004.0)</f>
        <v>37004</v>
      </c>
    </row>
    <row r="153">
      <c r="A153" s="3">
        <f>IFERROR(__xludf.DUMMYFUNCTION("""COMPUTED_VALUE"""),1917242.0)</f>
        <v>1917242</v>
      </c>
    </row>
    <row r="154">
      <c r="A154" s="3">
        <f>IFERROR(__xludf.DUMMYFUNCTION("""COMPUTED_VALUE"""),1612292.0)</f>
        <v>1612292</v>
      </c>
    </row>
    <row r="155">
      <c r="A155" s="3">
        <f>IFERROR(__xludf.DUMMYFUNCTION("""COMPUTED_VALUE"""),1587.0)</f>
        <v>1587</v>
      </c>
    </row>
    <row r="156">
      <c r="A156" s="3">
        <f>IFERROR(__xludf.DUMMYFUNCTION("""COMPUTED_VALUE"""),15169.0)</f>
        <v>15169</v>
      </c>
    </row>
    <row r="157">
      <c r="A157" s="3">
        <f>IFERROR(__xludf.DUMMYFUNCTION("""COMPUTED_VALUE"""),729193.0)</f>
        <v>729193</v>
      </c>
    </row>
    <row r="158">
      <c r="A158" s="3">
        <f>IFERROR(__xludf.DUMMYFUNCTION("""COMPUTED_VALUE"""),1245989.0)</f>
        <v>1245989</v>
      </c>
    </row>
    <row r="159">
      <c r="A159" s="3">
        <f>IFERROR(__xludf.DUMMYFUNCTION("""COMPUTED_VALUE"""),750734.0)</f>
        <v>750734</v>
      </c>
    </row>
    <row r="160">
      <c r="A160" s="3">
        <f>IFERROR(__xludf.DUMMYFUNCTION("""COMPUTED_VALUE"""),1319401.0)</f>
        <v>1319401</v>
      </c>
    </row>
    <row r="161">
      <c r="A161" s="3">
        <f>IFERROR(__xludf.DUMMYFUNCTION("""COMPUTED_VALUE"""),964.0)</f>
        <v>964</v>
      </c>
    </row>
    <row r="162">
      <c r="A162" s="3">
        <f>IFERROR(__xludf.DUMMYFUNCTION("""COMPUTED_VALUE"""),41750.0)</f>
        <v>41750</v>
      </c>
    </row>
    <row r="163">
      <c r="A163" s="3">
        <f>IFERROR(__xludf.DUMMYFUNCTION("""COMPUTED_VALUE"""),1223165.0)</f>
        <v>1223165</v>
      </c>
    </row>
    <row r="164">
      <c r="A164" s="3">
        <f>IFERROR(__xludf.DUMMYFUNCTION("""COMPUTED_VALUE"""),1423985.0)</f>
        <v>1423985</v>
      </c>
    </row>
    <row r="165">
      <c r="A165" s="3">
        <f>IFERROR(__xludf.DUMMYFUNCTION("""COMPUTED_VALUE"""),134323.0)</f>
        <v>134323</v>
      </c>
    </row>
    <row r="166">
      <c r="A166" s="3">
        <f>IFERROR(__xludf.DUMMYFUNCTION("""COMPUTED_VALUE"""),2050962.0)</f>
        <v>2050962</v>
      </c>
    </row>
    <row r="167">
      <c r="A167" s="3">
        <f>IFERROR(__xludf.DUMMYFUNCTION("""COMPUTED_VALUE"""),1304028.0)</f>
        <v>1304028</v>
      </c>
    </row>
    <row r="168">
      <c r="A168" s="3">
        <f>IFERROR(__xludf.DUMMYFUNCTION("""COMPUTED_VALUE"""),1213107.0)</f>
        <v>1213107</v>
      </c>
    </row>
    <row r="169">
      <c r="A169" s="3">
        <f>IFERROR(__xludf.DUMMYFUNCTION("""COMPUTED_VALUE"""),111147.0)</f>
        <v>111147</v>
      </c>
    </row>
    <row r="170">
      <c r="A170" s="3">
        <f>IFERROR(__xludf.DUMMYFUNCTION("""COMPUTED_VALUE"""),1518492.0)</f>
        <v>1518492</v>
      </c>
    </row>
    <row r="171">
      <c r="A171" s="3">
        <f>IFERROR(__xludf.DUMMYFUNCTION("""COMPUTED_VALUE"""),1327250.0)</f>
        <v>1327250</v>
      </c>
    </row>
    <row r="172">
      <c r="A172" s="3">
        <f>IFERROR(__xludf.DUMMYFUNCTION("""COMPUTED_VALUE"""),16862.0)</f>
        <v>16862</v>
      </c>
    </row>
    <row r="173">
      <c r="A173" s="3">
        <f>IFERROR(__xludf.DUMMYFUNCTION("""COMPUTED_VALUE"""),18830.0)</f>
        <v>18830</v>
      </c>
    </row>
    <row r="174">
      <c r="A174" s="3">
        <f>IFERROR(__xludf.DUMMYFUNCTION("""COMPUTED_VALUE"""),1433532.0)</f>
        <v>1433532</v>
      </c>
    </row>
    <row r="175">
      <c r="A175" s="3">
        <f>IFERROR(__xludf.DUMMYFUNCTION("""COMPUTED_VALUE"""),2404581.0)</f>
        <v>2404581</v>
      </c>
    </row>
    <row r="176">
      <c r="A176" s="3">
        <f>IFERROR(__xludf.DUMMYFUNCTION("""COMPUTED_VALUE"""),1560483.0)</f>
        <v>1560483</v>
      </c>
    </row>
    <row r="177">
      <c r="A177" s="3">
        <f>IFERROR(__xludf.DUMMYFUNCTION("""COMPUTED_VALUE"""),996878.0)</f>
        <v>996878</v>
      </c>
    </row>
    <row r="178">
      <c r="A178" s="3">
        <f>IFERROR(__xludf.DUMMYFUNCTION("""COMPUTED_VALUE"""),294363.0)</f>
        <v>294363</v>
      </c>
    </row>
    <row r="179">
      <c r="A179" s="3">
        <f>IFERROR(__xludf.DUMMYFUNCTION("""COMPUTED_VALUE"""),1635202.0)</f>
        <v>1635202</v>
      </c>
    </row>
    <row r="180">
      <c r="A180" s="3">
        <f>IFERROR(__xludf.DUMMYFUNCTION("""COMPUTED_VALUE"""),1299238.0)</f>
        <v>1299238</v>
      </c>
    </row>
    <row r="181">
      <c r="A181" s="3">
        <f>IFERROR(__xludf.DUMMYFUNCTION("""COMPUTED_VALUE"""),33050.0)</f>
        <v>33050</v>
      </c>
    </row>
    <row r="182">
      <c r="A182" s="3">
        <f>IFERROR(__xludf.DUMMYFUNCTION("""COMPUTED_VALUE"""),57921.0)</f>
        <v>57921</v>
      </c>
    </row>
    <row r="183">
      <c r="A183" s="3">
        <f>IFERROR(__xludf.DUMMYFUNCTION("""COMPUTED_VALUE"""),1532945.0)</f>
        <v>1532945</v>
      </c>
    </row>
    <row r="184">
      <c r="A184" s="3">
        <f>IFERROR(__xludf.DUMMYFUNCTION("""COMPUTED_VALUE"""),2530666.0)</f>
        <v>2530666</v>
      </c>
    </row>
    <row r="185">
      <c r="A185" s="3">
        <f>IFERROR(__xludf.DUMMYFUNCTION("""COMPUTED_VALUE"""),2065471.0)</f>
        <v>2065471</v>
      </c>
    </row>
    <row r="186">
      <c r="A186" s="3">
        <f>IFERROR(__xludf.DUMMYFUNCTION("""COMPUTED_VALUE"""),712128.0)</f>
        <v>712128</v>
      </c>
    </row>
    <row r="187">
      <c r="A187" s="3">
        <f>IFERROR(__xludf.DUMMYFUNCTION("""COMPUTED_VALUE"""),1975970.0)</f>
        <v>1975970</v>
      </c>
    </row>
    <row r="188">
      <c r="A188" s="3">
        <f>IFERROR(__xludf.DUMMYFUNCTION("""COMPUTED_VALUE"""),1085362.0)</f>
        <v>1085362</v>
      </c>
    </row>
    <row r="189">
      <c r="A189" s="3">
        <f>IFERROR(__xludf.DUMMYFUNCTION("""COMPUTED_VALUE"""),1064862.0)</f>
        <v>1064862</v>
      </c>
    </row>
    <row r="190">
      <c r="A190" s="3">
        <f>IFERROR(__xludf.DUMMYFUNCTION("""COMPUTED_VALUE"""),3146934.0)</f>
        <v>3146934</v>
      </c>
    </row>
    <row r="191">
      <c r="A191" s="3">
        <f>IFERROR(__xludf.DUMMYFUNCTION("""COMPUTED_VALUE"""),2266312.0)</f>
        <v>2266312</v>
      </c>
    </row>
    <row r="192">
      <c r="A192" s="3">
        <f>IFERROR(__xludf.DUMMYFUNCTION("""COMPUTED_VALUE"""),1163045.0)</f>
        <v>1163045</v>
      </c>
    </row>
    <row r="193">
      <c r="A193" s="3">
        <f>IFERROR(__xludf.DUMMYFUNCTION("""COMPUTED_VALUE"""),857370.0)</f>
        <v>857370</v>
      </c>
    </row>
    <row r="194">
      <c r="A194" s="3">
        <f>IFERROR(__xludf.DUMMYFUNCTION("""COMPUTED_VALUE"""),56808.0)</f>
        <v>56808</v>
      </c>
    </row>
    <row r="195">
      <c r="A195" s="3">
        <f>IFERROR(__xludf.DUMMYFUNCTION("""COMPUTED_VALUE"""),601398.0)</f>
        <v>601398</v>
      </c>
    </row>
    <row r="196">
      <c r="A196" s="3">
        <f>IFERROR(__xludf.DUMMYFUNCTION("""COMPUTED_VALUE"""),1574844.0)</f>
        <v>1574844</v>
      </c>
    </row>
    <row r="197">
      <c r="A197" s="3">
        <f>IFERROR(__xludf.DUMMYFUNCTION("""COMPUTED_VALUE"""),70114.0)</f>
        <v>70114</v>
      </c>
    </row>
    <row r="198">
      <c r="A198" s="3">
        <f>IFERROR(__xludf.DUMMYFUNCTION("""COMPUTED_VALUE"""),549688.0)</f>
        <v>549688</v>
      </c>
    </row>
    <row r="199">
      <c r="A199" s="3">
        <f>IFERROR(__xludf.DUMMYFUNCTION("""COMPUTED_VALUE"""),1705561.0)</f>
        <v>1705561</v>
      </c>
    </row>
    <row r="200">
      <c r="A200" s="3">
        <f>IFERROR(__xludf.DUMMYFUNCTION("""COMPUTED_VALUE"""),846242.0)</f>
        <v>846242</v>
      </c>
    </row>
    <row r="201">
      <c r="A201" s="3">
        <f>IFERROR(__xludf.DUMMYFUNCTION("""COMPUTED_VALUE"""),798116.0)</f>
        <v>798116</v>
      </c>
    </row>
    <row r="202">
      <c r="A202" s="3">
        <f>IFERROR(__xludf.DUMMYFUNCTION("""COMPUTED_VALUE"""),15033.0)</f>
        <v>15033</v>
      </c>
    </row>
    <row r="203">
      <c r="A203" s="3">
        <f>IFERROR(__xludf.DUMMYFUNCTION("""COMPUTED_VALUE"""),1164765.0)</f>
        <v>1164765</v>
      </c>
    </row>
    <row r="204">
      <c r="A204" s="3">
        <f>IFERROR(__xludf.DUMMYFUNCTION("""COMPUTED_VALUE"""),112271.0)</f>
        <v>112271</v>
      </c>
    </row>
    <row r="205">
      <c r="A205" s="3">
        <f>IFERROR(__xludf.DUMMYFUNCTION("""COMPUTED_VALUE"""),500036.0)</f>
        <v>500036</v>
      </c>
    </row>
    <row r="206">
      <c r="A206" s="3">
        <f>IFERROR(__xludf.DUMMYFUNCTION("""COMPUTED_VALUE"""),638755.0)</f>
        <v>638755</v>
      </c>
    </row>
    <row r="207">
      <c r="A207" s="3">
        <f>IFERROR(__xludf.DUMMYFUNCTION("""COMPUTED_VALUE"""),100392.0)</f>
        <v>100392</v>
      </c>
    </row>
    <row r="208">
      <c r="A208" s="3">
        <f>IFERROR(__xludf.DUMMYFUNCTION("""COMPUTED_VALUE"""),12721.0)</f>
        <v>12721</v>
      </c>
    </row>
    <row r="209">
      <c r="A209" s="3">
        <f>IFERROR(__xludf.DUMMYFUNCTION("""COMPUTED_VALUE"""),874565.0)</f>
        <v>874565</v>
      </c>
    </row>
    <row r="210">
      <c r="A210" s="3">
        <f>IFERROR(__xludf.DUMMYFUNCTION("""COMPUTED_VALUE"""),53107.0)</f>
        <v>53107</v>
      </c>
    </row>
    <row r="211">
      <c r="A211" s="3">
        <f>IFERROR(__xludf.DUMMYFUNCTION("""COMPUTED_VALUE"""),954426.0)</f>
        <v>954426</v>
      </c>
    </row>
    <row r="212">
      <c r="A212" s="3">
        <f>IFERROR(__xludf.DUMMYFUNCTION("""COMPUTED_VALUE"""),77818.0)</f>
        <v>77818</v>
      </c>
    </row>
    <row r="213">
      <c r="A213" s="3">
        <f>IFERROR(__xludf.DUMMYFUNCTION("""COMPUTED_VALUE"""),1181838.0)</f>
        <v>1181838</v>
      </c>
    </row>
    <row r="214">
      <c r="A214" s="3">
        <f>IFERROR(__xludf.DUMMYFUNCTION("""COMPUTED_VALUE"""),1068503.0)</f>
        <v>1068503</v>
      </c>
    </row>
    <row r="215">
      <c r="A215" s="3">
        <f>IFERROR(__xludf.DUMMYFUNCTION("""COMPUTED_VALUE"""),83857.0)</f>
        <v>83857</v>
      </c>
    </row>
    <row r="216">
      <c r="A216" s="3">
        <f>IFERROR(__xludf.DUMMYFUNCTION("""COMPUTED_VALUE"""),1962841.0)</f>
        <v>1962841</v>
      </c>
    </row>
    <row r="217">
      <c r="A217" s="3">
        <f>IFERROR(__xludf.DUMMYFUNCTION("""COMPUTED_VALUE"""),1104704.0)</f>
        <v>1104704</v>
      </c>
    </row>
    <row r="218">
      <c r="A218" s="3">
        <f>IFERROR(__xludf.DUMMYFUNCTION("""COMPUTED_VALUE"""),1433708.0)</f>
        <v>1433708</v>
      </c>
    </row>
    <row r="219">
      <c r="A219" s="3">
        <f>IFERROR(__xludf.DUMMYFUNCTION("""COMPUTED_VALUE"""),1929554.0)</f>
        <v>1929554</v>
      </c>
    </row>
    <row r="220">
      <c r="A220" s="3">
        <f>IFERROR(__xludf.DUMMYFUNCTION("""COMPUTED_VALUE"""),2184214.0)</f>
        <v>2184214</v>
      </c>
    </row>
    <row r="221">
      <c r="A221" s="3">
        <f>IFERROR(__xludf.DUMMYFUNCTION("""COMPUTED_VALUE"""),1039792.0)</f>
        <v>1039792</v>
      </c>
    </row>
    <row r="222">
      <c r="A222" s="3">
        <f>IFERROR(__xludf.DUMMYFUNCTION("""COMPUTED_VALUE"""),831774.0)</f>
        <v>831774</v>
      </c>
    </row>
    <row r="223">
      <c r="A223" s="3">
        <f>IFERROR(__xludf.DUMMYFUNCTION("""COMPUTED_VALUE"""),2197572.0)</f>
        <v>2197572</v>
      </c>
    </row>
    <row r="224">
      <c r="A224" s="3">
        <f>IFERROR(__xludf.DUMMYFUNCTION("""COMPUTED_VALUE"""),627332.0)</f>
        <v>627332</v>
      </c>
    </row>
    <row r="225">
      <c r="A225" s="3">
        <f>IFERROR(__xludf.DUMMYFUNCTION("""COMPUTED_VALUE"""),827767.0)</f>
        <v>827767</v>
      </c>
    </row>
    <row r="226">
      <c r="A226" s="3">
        <f>IFERROR(__xludf.DUMMYFUNCTION("""COMPUTED_VALUE"""),835.0)</f>
        <v>835</v>
      </c>
    </row>
    <row r="227">
      <c r="A227" s="3">
        <f>IFERROR(__xludf.DUMMYFUNCTION("""COMPUTED_VALUE"""),776836.0)</f>
        <v>776836</v>
      </c>
    </row>
    <row r="228">
      <c r="A228" s="3">
        <f>IFERROR(__xludf.DUMMYFUNCTION("""COMPUTED_VALUE"""),29520.0)</f>
        <v>29520</v>
      </c>
    </row>
    <row r="229">
      <c r="A229" s="3">
        <f>IFERROR(__xludf.DUMMYFUNCTION("""COMPUTED_VALUE"""),1975545.0)</f>
        <v>1975545</v>
      </c>
    </row>
    <row r="230">
      <c r="A230" s="3">
        <f>IFERROR(__xludf.DUMMYFUNCTION("""COMPUTED_VALUE"""),781491.0)</f>
        <v>781491</v>
      </c>
    </row>
    <row r="231">
      <c r="A231" s="3">
        <f>IFERROR(__xludf.DUMMYFUNCTION("""COMPUTED_VALUE"""),1408375.0)</f>
        <v>1408375</v>
      </c>
    </row>
    <row r="232">
      <c r="A232" s="3">
        <f>IFERROR(__xludf.DUMMYFUNCTION("""COMPUTED_VALUE"""),183.0)</f>
        <v>183</v>
      </c>
    </row>
    <row r="233">
      <c r="A233" s="3">
        <f>IFERROR(__xludf.DUMMYFUNCTION("""COMPUTED_VALUE"""),2018938.0)</f>
        <v>2018938</v>
      </c>
    </row>
    <row r="234">
      <c r="A234" s="3">
        <f>IFERROR(__xludf.DUMMYFUNCTION("""COMPUTED_VALUE"""),1256429.0)</f>
        <v>1256429</v>
      </c>
    </row>
    <row r="235">
      <c r="A235" s="3">
        <f>IFERROR(__xludf.DUMMYFUNCTION("""COMPUTED_VALUE"""),118986.0)</f>
        <v>118986</v>
      </c>
    </row>
    <row r="236">
      <c r="A236" s="3">
        <f>IFERROR(__xludf.DUMMYFUNCTION("""COMPUTED_VALUE"""),59606.0)</f>
        <v>59606</v>
      </c>
    </row>
    <row r="237">
      <c r="A237" s="3">
        <f>IFERROR(__xludf.DUMMYFUNCTION("""COMPUTED_VALUE"""),243613.0)</f>
        <v>243613</v>
      </c>
    </row>
    <row r="238">
      <c r="A238" s="3">
        <f>IFERROR(__xludf.DUMMYFUNCTION("""COMPUTED_VALUE"""),747000.0)</f>
        <v>747000</v>
      </c>
    </row>
    <row r="239">
      <c r="A239" s="3">
        <f>IFERROR(__xludf.DUMMYFUNCTION("""COMPUTED_VALUE"""),1437318.0)</f>
        <v>1437318</v>
      </c>
    </row>
    <row r="240">
      <c r="A240" s="3">
        <f>IFERROR(__xludf.DUMMYFUNCTION("""COMPUTED_VALUE"""),865467.0)</f>
        <v>865467</v>
      </c>
    </row>
    <row r="241">
      <c r="A241" s="3">
        <f>IFERROR(__xludf.DUMMYFUNCTION("""COMPUTED_VALUE"""),132347.0)</f>
        <v>132347</v>
      </c>
    </row>
    <row r="242">
      <c r="A242" s="3">
        <f>IFERROR(__xludf.DUMMYFUNCTION("""COMPUTED_VALUE"""),66161.0)</f>
        <v>66161</v>
      </c>
    </row>
    <row r="243">
      <c r="A243" s="3">
        <f>IFERROR(__xludf.DUMMYFUNCTION("""COMPUTED_VALUE"""),1277486.0)</f>
        <v>1277486</v>
      </c>
    </row>
    <row r="244">
      <c r="A244" s="3">
        <f>IFERROR(__xludf.DUMMYFUNCTION("""COMPUTED_VALUE"""),820544.0)</f>
        <v>820544</v>
      </c>
    </row>
    <row r="245">
      <c r="A245" s="3">
        <f>IFERROR(__xludf.DUMMYFUNCTION("""COMPUTED_VALUE"""),1624875.0)</f>
        <v>1624875</v>
      </c>
    </row>
    <row r="246">
      <c r="A246" s="3">
        <f>IFERROR(__xludf.DUMMYFUNCTION("""COMPUTED_VALUE"""),529123.0)</f>
        <v>529123</v>
      </c>
    </row>
    <row r="247">
      <c r="A247" s="3">
        <f>IFERROR(__xludf.DUMMYFUNCTION("""COMPUTED_VALUE"""),1392815.0)</f>
        <v>1392815</v>
      </c>
    </row>
    <row r="248">
      <c r="A248" s="3">
        <f>IFERROR(__xludf.DUMMYFUNCTION("""COMPUTED_VALUE"""),2561949.0)</f>
        <v>2561949</v>
      </c>
    </row>
    <row r="249">
      <c r="A249" s="3">
        <f>IFERROR(__xludf.DUMMYFUNCTION("""COMPUTED_VALUE"""),709784.0)</f>
        <v>709784</v>
      </c>
    </row>
    <row r="250">
      <c r="A250" s="3">
        <f>IFERROR(__xludf.DUMMYFUNCTION("""COMPUTED_VALUE"""),555530.0)</f>
        <v>555530</v>
      </c>
    </row>
    <row r="251">
      <c r="A251" s="3">
        <f>IFERROR(__xludf.DUMMYFUNCTION("""COMPUTED_VALUE"""),631299.0)</f>
        <v>631299</v>
      </c>
    </row>
    <row r="252">
      <c r="A252" s="3">
        <f>IFERROR(__xludf.DUMMYFUNCTION("""COMPUTED_VALUE"""),1588612.0)</f>
        <v>1588612</v>
      </c>
    </row>
    <row r="253">
      <c r="A253" s="3">
        <f>IFERROR(__xludf.DUMMYFUNCTION("""COMPUTED_VALUE"""),75190.0)</f>
        <v>75190</v>
      </c>
    </row>
    <row r="254">
      <c r="A254" s="3">
        <f>IFERROR(__xludf.DUMMYFUNCTION("""COMPUTED_VALUE"""),2739727.0)</f>
        <v>2739727</v>
      </c>
    </row>
    <row r="255">
      <c r="A255" s="3">
        <f>IFERROR(__xludf.DUMMYFUNCTION("""COMPUTED_VALUE"""),589007.0)</f>
        <v>589007</v>
      </c>
    </row>
    <row r="256">
      <c r="A256" s="3">
        <f>IFERROR(__xludf.DUMMYFUNCTION("""COMPUTED_VALUE"""),2682633.0)</f>
        <v>2682633</v>
      </c>
    </row>
    <row r="257">
      <c r="A257" s="3">
        <f>IFERROR(__xludf.DUMMYFUNCTION("""COMPUTED_VALUE"""),920903.0)</f>
        <v>920903</v>
      </c>
    </row>
    <row r="258">
      <c r="A258" s="3">
        <f>IFERROR(__xludf.DUMMYFUNCTION("""COMPUTED_VALUE"""),3095345.0)</f>
        <v>3095345</v>
      </c>
    </row>
    <row r="259">
      <c r="A259" s="3">
        <f>IFERROR(__xludf.DUMMYFUNCTION("""COMPUTED_VALUE"""),1659175.0)</f>
        <v>1659175</v>
      </c>
    </row>
    <row r="260">
      <c r="A260" s="3">
        <f>IFERROR(__xludf.DUMMYFUNCTION("""COMPUTED_VALUE"""),1292428.0)</f>
        <v>1292428</v>
      </c>
    </row>
    <row r="261">
      <c r="A261" s="3">
        <f>IFERROR(__xludf.DUMMYFUNCTION("""COMPUTED_VALUE"""),561186.0)</f>
        <v>561186</v>
      </c>
    </row>
    <row r="262">
      <c r="A262" s="3">
        <f>IFERROR(__xludf.DUMMYFUNCTION("""COMPUTED_VALUE"""),1079751.0)</f>
        <v>1079751</v>
      </c>
    </row>
    <row r="263">
      <c r="A263" s="3">
        <f>IFERROR(__xludf.DUMMYFUNCTION("""COMPUTED_VALUE"""),507740.0)</f>
        <v>507740</v>
      </c>
    </row>
    <row r="264">
      <c r="A264" s="3">
        <f>IFERROR(__xludf.DUMMYFUNCTION("""COMPUTED_VALUE"""),33320.0)</f>
        <v>33320</v>
      </c>
    </row>
    <row r="265">
      <c r="A265" s="3">
        <f>IFERROR(__xludf.DUMMYFUNCTION("""COMPUTED_VALUE"""),2204142.0)</f>
        <v>2204142</v>
      </c>
    </row>
    <row r="266">
      <c r="A266" s="3">
        <f>IFERROR(__xludf.DUMMYFUNCTION("""COMPUTED_VALUE"""),313195.0)</f>
        <v>313195</v>
      </c>
    </row>
    <row r="267">
      <c r="A267" s="3">
        <f>IFERROR(__xludf.DUMMYFUNCTION("""COMPUTED_VALUE"""),46237.0)</f>
        <v>46237</v>
      </c>
    </row>
    <row r="268">
      <c r="A268" s="3">
        <f>IFERROR(__xludf.DUMMYFUNCTION("""COMPUTED_VALUE"""),353277.0)</f>
        <v>353277</v>
      </c>
    </row>
    <row r="269">
      <c r="A269" s="3">
        <f>IFERROR(__xludf.DUMMYFUNCTION("""COMPUTED_VALUE"""),458420.0)</f>
        <v>458420</v>
      </c>
    </row>
    <row r="270">
      <c r="A270" s="3">
        <f>IFERROR(__xludf.DUMMYFUNCTION("""COMPUTED_VALUE"""),1924646.0)</f>
        <v>1924646</v>
      </c>
    </row>
    <row r="271">
      <c r="A271" s="3">
        <f>IFERROR(__xludf.DUMMYFUNCTION("""COMPUTED_VALUE"""),55000.0)</f>
        <v>55000</v>
      </c>
    </row>
    <row r="272">
      <c r="A272" s="3">
        <f>IFERROR(__xludf.DUMMYFUNCTION("""COMPUTED_VALUE"""),636742.0)</f>
        <v>636742</v>
      </c>
    </row>
    <row r="273">
      <c r="A273" s="3">
        <f>IFERROR(__xludf.DUMMYFUNCTION("""COMPUTED_VALUE"""),370227.0)</f>
        <v>370227</v>
      </c>
    </row>
    <row r="274">
      <c r="A274" s="3">
        <f>IFERROR(__xludf.DUMMYFUNCTION("""COMPUTED_VALUE"""),1999227.0)</f>
        <v>1999227</v>
      </c>
    </row>
    <row r="275">
      <c r="A275" s="3">
        <f>IFERROR(__xludf.DUMMYFUNCTION("""COMPUTED_VALUE"""),3530641.0)</f>
        <v>3530641</v>
      </c>
    </row>
    <row r="276">
      <c r="A276" s="3">
        <f>IFERROR(__xludf.DUMMYFUNCTION("""COMPUTED_VALUE"""),1148909.0)</f>
        <v>1148909</v>
      </c>
    </row>
    <row r="277">
      <c r="A277" s="3">
        <f>IFERROR(__xludf.DUMMYFUNCTION("""COMPUTED_VALUE"""),933286.0)</f>
        <v>933286</v>
      </c>
    </row>
    <row r="278">
      <c r="A278" s="3">
        <f>IFERROR(__xludf.DUMMYFUNCTION("""COMPUTED_VALUE"""),128464.0)</f>
        <v>128464</v>
      </c>
    </row>
    <row r="279">
      <c r="A279" s="3">
        <f>IFERROR(__xludf.DUMMYFUNCTION("""COMPUTED_VALUE"""),683496.0)</f>
        <v>683496</v>
      </c>
    </row>
    <row r="280">
      <c r="A280" s="3">
        <f>IFERROR(__xludf.DUMMYFUNCTION("""COMPUTED_VALUE"""),23.0)</f>
        <v>23</v>
      </c>
    </row>
    <row r="281">
      <c r="A281" s="3">
        <f>IFERROR(__xludf.DUMMYFUNCTION("""COMPUTED_VALUE"""),341109.0)</f>
        <v>341109</v>
      </c>
    </row>
    <row r="282">
      <c r="A282" s="3">
        <f>IFERROR(__xludf.DUMMYFUNCTION("""COMPUTED_VALUE"""),20880.0)</f>
        <v>20880</v>
      </c>
    </row>
    <row r="283">
      <c r="A283" s="3">
        <f>IFERROR(__xludf.DUMMYFUNCTION("""COMPUTED_VALUE"""),366410.0)</f>
        <v>366410</v>
      </c>
    </row>
    <row r="284">
      <c r="A284" s="3">
        <f>IFERROR(__xludf.DUMMYFUNCTION("""COMPUTED_VALUE"""),712525.0)</f>
        <v>712525</v>
      </c>
    </row>
    <row r="285">
      <c r="A285" s="3">
        <f>IFERROR(__xludf.DUMMYFUNCTION("""COMPUTED_VALUE"""),1269350.0)</f>
        <v>1269350</v>
      </c>
    </row>
    <row r="286">
      <c r="A286" s="3">
        <f>IFERROR(__xludf.DUMMYFUNCTION("""COMPUTED_VALUE"""),75245.0)</f>
        <v>75245</v>
      </c>
    </row>
    <row r="287">
      <c r="A287" s="3">
        <f>IFERROR(__xludf.DUMMYFUNCTION("""COMPUTED_VALUE"""),41305.0)</f>
        <v>41305</v>
      </c>
    </row>
    <row r="288">
      <c r="A288" s="3">
        <f>IFERROR(__xludf.DUMMYFUNCTION("""COMPUTED_VALUE"""),481017.0)</f>
        <v>481017</v>
      </c>
    </row>
    <row r="289">
      <c r="A289" s="3">
        <f>IFERROR(__xludf.DUMMYFUNCTION("""COMPUTED_VALUE"""),140685.0)</f>
        <v>140685</v>
      </c>
    </row>
    <row r="290">
      <c r="A290" s="3">
        <f>IFERROR(__xludf.DUMMYFUNCTION("""COMPUTED_VALUE"""),1026478.0)</f>
        <v>1026478</v>
      </c>
    </row>
    <row r="291">
      <c r="A291" s="3">
        <f>IFERROR(__xludf.DUMMYFUNCTION("""COMPUTED_VALUE"""),634675.0)</f>
        <v>634675</v>
      </c>
    </row>
    <row r="292">
      <c r="A292" s="3">
        <f>IFERROR(__xludf.DUMMYFUNCTION("""COMPUTED_VALUE"""),1078947.0)</f>
        <v>1078947</v>
      </c>
    </row>
    <row r="293">
      <c r="A293" s="3">
        <f>IFERROR(__xludf.DUMMYFUNCTION("""COMPUTED_VALUE"""),3200000.0)</f>
        <v>3200000</v>
      </c>
    </row>
    <row r="294">
      <c r="A294" s="3">
        <f>IFERROR(__xludf.DUMMYFUNCTION("""COMPUTED_VALUE"""),803916.0)</f>
        <v>803916</v>
      </c>
    </row>
    <row r="295">
      <c r="A295" s="3">
        <f>IFERROR(__xludf.DUMMYFUNCTION("""COMPUTED_VALUE"""),1134960.0)</f>
        <v>1134960</v>
      </c>
    </row>
    <row r="296">
      <c r="A296" s="3">
        <f>IFERROR(__xludf.DUMMYFUNCTION("""COMPUTED_VALUE"""),2442736.0)</f>
        <v>2442736</v>
      </c>
    </row>
    <row r="297">
      <c r="A297" s="3">
        <f>IFERROR(__xludf.DUMMYFUNCTION("""COMPUTED_VALUE"""),207746.0)</f>
        <v>207746</v>
      </c>
    </row>
    <row r="298">
      <c r="A298" s="3">
        <f>IFERROR(__xludf.DUMMYFUNCTION("""COMPUTED_VALUE"""),208801.0)</f>
        <v>208801</v>
      </c>
    </row>
    <row r="299">
      <c r="A299" s="3">
        <f>IFERROR(__xludf.DUMMYFUNCTION("""COMPUTED_VALUE"""),676.0)</f>
        <v>676</v>
      </c>
    </row>
    <row r="300">
      <c r="A300" s="3">
        <f>IFERROR(__xludf.DUMMYFUNCTION("""COMPUTED_VALUE"""),342781.0)</f>
        <v>342781</v>
      </c>
    </row>
    <row r="301">
      <c r="A301" s="3">
        <f>IFERROR(__xludf.DUMMYFUNCTION("""COMPUTED_VALUE"""),1855822.0)</f>
        <v>1855822</v>
      </c>
    </row>
    <row r="302">
      <c r="A302" s="3">
        <f>IFERROR(__xludf.DUMMYFUNCTION("""COMPUTED_VALUE"""),122137.0)</f>
        <v>122137</v>
      </c>
    </row>
    <row r="303">
      <c r="A303" s="3">
        <f>IFERROR(__xludf.DUMMYFUNCTION("""COMPUTED_VALUE"""),146564.0)</f>
        <v>146564</v>
      </c>
    </row>
    <row r="304">
      <c r="A304" s="3">
        <f>IFERROR(__xludf.DUMMYFUNCTION("""COMPUTED_VALUE"""),35424.0)</f>
        <v>35424</v>
      </c>
    </row>
    <row r="305">
      <c r="A305" s="3">
        <f>IFERROR(__xludf.DUMMYFUNCTION("""COMPUTED_VALUE"""),461.0)</f>
        <v>461</v>
      </c>
    </row>
    <row r="306">
      <c r="A306" s="3">
        <f>IFERROR(__xludf.DUMMYFUNCTION("""COMPUTED_VALUE"""),1102652.0)</f>
        <v>1102652</v>
      </c>
    </row>
    <row r="307">
      <c r="A307" s="3">
        <f>IFERROR(__xludf.DUMMYFUNCTION("""COMPUTED_VALUE"""),990712.0)</f>
        <v>990712</v>
      </c>
    </row>
    <row r="308">
      <c r="A308" s="3">
        <f>IFERROR(__xludf.DUMMYFUNCTION("""COMPUTED_VALUE"""),1.0)</f>
        <v>1</v>
      </c>
    </row>
    <row r="309">
      <c r="A309" s="3">
        <f>IFERROR(__xludf.DUMMYFUNCTION("""COMPUTED_VALUE"""),45538.0)</f>
        <v>45538</v>
      </c>
    </row>
    <row r="310">
      <c r="A310" s="3">
        <f>IFERROR(__xludf.DUMMYFUNCTION("""COMPUTED_VALUE"""),61861.0)</f>
        <v>61861</v>
      </c>
    </row>
    <row r="311">
      <c r="A311" s="3">
        <f>IFERROR(__xludf.DUMMYFUNCTION("""COMPUTED_VALUE"""),1605217.0)</f>
        <v>1605217</v>
      </c>
    </row>
    <row r="312">
      <c r="A312" s="3">
        <f>IFERROR(__xludf.DUMMYFUNCTION("""COMPUTED_VALUE"""),818581.0)</f>
        <v>818581</v>
      </c>
    </row>
    <row r="313">
      <c r="A313" s="3">
        <f>IFERROR(__xludf.DUMMYFUNCTION("""COMPUTED_VALUE"""),202796.0)</f>
        <v>202796</v>
      </c>
    </row>
    <row r="314">
      <c r="A314" s="3">
        <f>IFERROR(__xludf.DUMMYFUNCTION("""COMPUTED_VALUE"""),1176880.0)</f>
        <v>1176880</v>
      </c>
    </row>
    <row r="315">
      <c r="A315" s="3">
        <f>IFERROR(__xludf.DUMMYFUNCTION("""COMPUTED_VALUE"""),62.0)</f>
        <v>62</v>
      </c>
    </row>
    <row r="316">
      <c r="A316" s="3">
        <f>IFERROR(__xludf.DUMMYFUNCTION("""COMPUTED_VALUE"""),10936.0)</f>
        <v>10936</v>
      </c>
    </row>
    <row r="317">
      <c r="A317" s="3">
        <f>IFERROR(__xludf.DUMMYFUNCTION("""COMPUTED_VALUE"""),14988.0)</f>
        <v>14988</v>
      </c>
    </row>
    <row r="318">
      <c r="A318" s="3">
        <f>IFERROR(__xludf.DUMMYFUNCTION("""COMPUTED_VALUE"""),51.0)</f>
        <v>51</v>
      </c>
    </row>
    <row r="319">
      <c r="A319" s="3">
        <f>IFERROR(__xludf.DUMMYFUNCTION("""COMPUTED_VALUE"""),1462163.0)</f>
        <v>1462163</v>
      </c>
    </row>
    <row r="320">
      <c r="A320" s="3">
        <f>IFERROR(__xludf.DUMMYFUNCTION("""COMPUTED_VALUE"""),1574637.0)</f>
        <v>1574637</v>
      </c>
    </row>
    <row r="321">
      <c r="A321" s="3">
        <f>IFERROR(__xludf.DUMMYFUNCTION("""COMPUTED_VALUE"""),27090.0)</f>
        <v>27090</v>
      </c>
    </row>
    <row r="322">
      <c r="A322" s="3">
        <f>IFERROR(__xludf.DUMMYFUNCTION("""COMPUTED_VALUE"""),23616.0)</f>
        <v>23616</v>
      </c>
    </row>
    <row r="323">
      <c r="A323" s="3">
        <f>IFERROR(__xludf.DUMMYFUNCTION("""COMPUTED_VALUE"""),306.0)</f>
        <v>306</v>
      </c>
    </row>
    <row r="324">
      <c r="A324" s="3">
        <f>IFERROR(__xludf.DUMMYFUNCTION("""COMPUTED_VALUE"""),39599.0)</f>
        <v>39599</v>
      </c>
    </row>
    <row r="325">
      <c r="A325" s="3">
        <f>IFERROR(__xludf.DUMMYFUNCTION("""COMPUTED_VALUE"""),15348.0)</f>
        <v>15348</v>
      </c>
    </row>
    <row r="326">
      <c r="A326" s="3">
        <f>IFERROR(__xludf.DUMMYFUNCTION("""COMPUTED_VALUE"""),825425.0)</f>
        <v>825425</v>
      </c>
    </row>
    <row r="327">
      <c r="A327" s="3">
        <f>IFERROR(__xludf.DUMMYFUNCTION("""COMPUTED_VALUE"""),1972136.0)</f>
        <v>1972136</v>
      </c>
    </row>
    <row r="328">
      <c r="A328" s="3">
        <f>IFERROR(__xludf.DUMMYFUNCTION("""COMPUTED_VALUE"""),23.0)</f>
        <v>23</v>
      </c>
    </row>
    <row r="329">
      <c r="A329" s="3">
        <f>IFERROR(__xludf.DUMMYFUNCTION("""COMPUTED_VALUE"""),224948.0)</f>
        <v>224948</v>
      </c>
    </row>
    <row r="330">
      <c r="A330" s="3">
        <f>IFERROR(__xludf.DUMMYFUNCTION("""COMPUTED_VALUE"""),58159.0)</f>
        <v>58159</v>
      </c>
    </row>
    <row r="331">
      <c r="A331" s="3">
        <f>IFERROR(__xludf.DUMMYFUNCTION("""COMPUTED_VALUE"""),465.0)</f>
        <v>465</v>
      </c>
    </row>
    <row r="332">
      <c r="A332" s="3">
        <f>IFERROR(__xludf.DUMMYFUNCTION("""COMPUTED_VALUE"""),5742016.0)</f>
        <v>5742016</v>
      </c>
    </row>
    <row r="333">
      <c r="A333" s="3">
        <f>IFERROR(__xludf.DUMMYFUNCTION("""COMPUTED_VALUE"""),1343505.0)</f>
        <v>1343505</v>
      </c>
    </row>
    <row r="334">
      <c r="A334" s="3">
        <f>IFERROR(__xludf.DUMMYFUNCTION("""COMPUTED_VALUE"""),1083371.0)</f>
        <v>1083371</v>
      </c>
    </row>
    <row r="335">
      <c r="A335" s="3">
        <f>IFERROR(__xludf.DUMMYFUNCTION("""COMPUTED_VALUE"""),12384.0)</f>
        <v>12384</v>
      </c>
    </row>
    <row r="336">
      <c r="A336" s="3">
        <f>IFERROR(__xludf.DUMMYFUNCTION("""COMPUTED_VALUE"""),81858.0)</f>
        <v>81858</v>
      </c>
    </row>
    <row r="337">
      <c r="A337" s="3">
        <f>IFERROR(__xludf.DUMMYFUNCTION("""COMPUTED_VALUE"""),46.0)</f>
        <v>46</v>
      </c>
    </row>
    <row r="338">
      <c r="A338" s="3">
        <f>IFERROR(__xludf.DUMMYFUNCTION("""COMPUTED_VALUE"""),1822656.0)</f>
        <v>1822656</v>
      </c>
    </row>
    <row r="339">
      <c r="A339" s="3">
        <f>IFERROR(__xludf.DUMMYFUNCTION("""COMPUTED_VALUE"""),498832.0)</f>
        <v>498832</v>
      </c>
    </row>
    <row r="340">
      <c r="A340" s="3">
        <f>IFERROR(__xludf.DUMMYFUNCTION("""COMPUTED_VALUE"""),852479.0)</f>
        <v>852479</v>
      </c>
    </row>
    <row r="341">
      <c r="A341" s="3">
        <f>IFERROR(__xludf.DUMMYFUNCTION("""COMPUTED_VALUE"""),2106848.0)</f>
        <v>2106848</v>
      </c>
    </row>
    <row r="342">
      <c r="A342" s="3">
        <f>IFERROR(__xludf.DUMMYFUNCTION("""COMPUTED_VALUE"""),444272.0)</f>
        <v>444272</v>
      </c>
    </row>
    <row r="343">
      <c r="A343" s="3">
        <f>IFERROR(__xludf.DUMMYFUNCTION("""COMPUTED_VALUE"""),349.0)</f>
        <v>349</v>
      </c>
    </row>
    <row r="344">
      <c r="A344" s="3">
        <f>IFERROR(__xludf.DUMMYFUNCTION("""COMPUTED_VALUE"""),808.0)</f>
        <v>808</v>
      </c>
    </row>
    <row r="345">
      <c r="A345" s="3">
        <f>IFERROR(__xludf.DUMMYFUNCTION("""COMPUTED_VALUE"""),711000.0)</f>
        <v>711000</v>
      </c>
    </row>
    <row r="346">
      <c r="A346" s="3">
        <f>IFERROR(__xludf.DUMMYFUNCTION("""COMPUTED_VALUE"""),32508.0)</f>
        <v>32508</v>
      </c>
    </row>
    <row r="347">
      <c r="A347" s="3">
        <f>IFERROR(__xludf.DUMMYFUNCTION("""COMPUTED_VALUE"""),1472145.0)</f>
        <v>1472145</v>
      </c>
    </row>
    <row r="348">
      <c r="A348" s="3">
        <f>IFERROR(__xludf.DUMMYFUNCTION("""COMPUTED_VALUE"""),808.0)</f>
        <v>808</v>
      </c>
    </row>
    <row r="349">
      <c r="A349" s="3">
        <f>IFERROR(__xludf.DUMMYFUNCTION("""COMPUTED_VALUE"""),1444788.0)</f>
        <v>1444788</v>
      </c>
    </row>
    <row r="350">
      <c r="A350" s="3">
        <f>IFERROR(__xludf.DUMMYFUNCTION("""COMPUTED_VALUE"""),11107.0)</f>
        <v>11107</v>
      </c>
    </row>
    <row r="351">
      <c r="A351" s="3">
        <f>IFERROR(__xludf.DUMMYFUNCTION("""COMPUTED_VALUE"""),1220411.0)</f>
        <v>1220411</v>
      </c>
    </row>
    <row r="352">
      <c r="A352" s="3">
        <f>IFERROR(__xludf.DUMMYFUNCTION("""COMPUTED_VALUE"""),1708322.0)</f>
        <v>1708322</v>
      </c>
    </row>
    <row r="353">
      <c r="A353" s="3">
        <f>IFERROR(__xludf.DUMMYFUNCTION("""COMPUTED_VALUE"""),464302.0)</f>
        <v>464302</v>
      </c>
    </row>
    <row r="354">
      <c r="A354" s="3">
        <f>IFERROR(__xludf.DUMMYFUNCTION("""COMPUTED_VALUE"""),578857.0)</f>
        <v>578857</v>
      </c>
    </row>
    <row r="355">
      <c r="A355" s="3">
        <f>IFERROR(__xludf.DUMMYFUNCTION("""COMPUTED_VALUE"""),404424.0)</f>
        <v>404424</v>
      </c>
    </row>
    <row r="356">
      <c r="A356" s="3">
        <f>IFERROR(__xludf.DUMMYFUNCTION("""COMPUTED_VALUE"""),991803.0)</f>
        <v>991803</v>
      </c>
    </row>
    <row r="357">
      <c r="A357" s="3">
        <f>IFERROR(__xludf.DUMMYFUNCTION("""COMPUTED_VALUE"""),19246.0)</f>
        <v>19246</v>
      </c>
    </row>
    <row r="358">
      <c r="A358" s="3">
        <f>IFERROR(__xludf.DUMMYFUNCTION("""COMPUTED_VALUE"""),672260.0)</f>
        <v>672260</v>
      </c>
    </row>
    <row r="359">
      <c r="A359" s="3">
        <f>IFERROR(__xludf.DUMMYFUNCTION("""COMPUTED_VALUE"""),1399929.0)</f>
        <v>1399929</v>
      </c>
    </row>
    <row r="360">
      <c r="A360" s="3">
        <f>IFERROR(__xludf.DUMMYFUNCTION("""COMPUTED_VALUE"""),307.0)</f>
        <v>307</v>
      </c>
    </row>
    <row r="361">
      <c r="A361" s="3">
        <f>IFERROR(__xludf.DUMMYFUNCTION("""COMPUTED_VALUE"""),621103.0)</f>
        <v>621103</v>
      </c>
    </row>
    <row r="362">
      <c r="A362" s="3">
        <f>IFERROR(__xludf.DUMMYFUNCTION("""COMPUTED_VALUE"""),782543.0)</f>
        <v>782543</v>
      </c>
    </row>
    <row r="363">
      <c r="A363" s="3">
        <f>IFERROR(__xludf.DUMMYFUNCTION("""COMPUTED_VALUE"""),41479.0)</f>
        <v>41479</v>
      </c>
    </row>
    <row r="364">
      <c r="A364" s="3">
        <f>IFERROR(__xludf.DUMMYFUNCTION("""COMPUTED_VALUE"""),2034018.0)</f>
        <v>2034018</v>
      </c>
    </row>
    <row r="365">
      <c r="A365" s="3">
        <f>IFERROR(__xludf.DUMMYFUNCTION("""COMPUTED_VALUE"""),1158483.0)</f>
        <v>1158483</v>
      </c>
    </row>
    <row r="366">
      <c r="A366" s="3">
        <f>IFERROR(__xludf.DUMMYFUNCTION("""COMPUTED_VALUE"""),306.0)</f>
        <v>306</v>
      </c>
    </row>
    <row r="367">
      <c r="A367" s="3">
        <f>IFERROR(__xludf.DUMMYFUNCTION("""COMPUTED_VALUE"""),21813.0)</f>
        <v>21813</v>
      </c>
    </row>
    <row r="368">
      <c r="A368" s="3">
        <f>IFERROR(__xludf.DUMMYFUNCTION("""COMPUTED_VALUE"""),455555.0)</f>
        <v>455555</v>
      </c>
    </row>
    <row r="369">
      <c r="A369" s="3">
        <f>IFERROR(__xludf.DUMMYFUNCTION("""COMPUTED_VALUE"""),1500.0)</f>
        <v>1500</v>
      </c>
    </row>
    <row r="370">
      <c r="A370" s="3">
        <f>IFERROR(__xludf.DUMMYFUNCTION("""COMPUTED_VALUE"""),1321256.0)</f>
        <v>1321256</v>
      </c>
    </row>
    <row r="371">
      <c r="A371" s="3">
        <f>IFERROR(__xludf.DUMMYFUNCTION("""COMPUTED_VALUE"""),200.0)</f>
        <v>200</v>
      </c>
    </row>
    <row r="372">
      <c r="A372" s="3">
        <f>IFERROR(__xludf.DUMMYFUNCTION("""COMPUTED_VALUE"""),637.0)</f>
        <v>637</v>
      </c>
    </row>
    <row r="373">
      <c r="A373" s="3">
        <f>IFERROR(__xludf.DUMMYFUNCTION("""COMPUTED_VALUE"""),3115175.0)</f>
        <v>3115175</v>
      </c>
    </row>
    <row r="374">
      <c r="A374" s="3">
        <f>IFERROR(__xludf.DUMMYFUNCTION("""COMPUTED_VALUE"""),1348080.0)</f>
        <v>1348080</v>
      </c>
    </row>
    <row r="375">
      <c r="A375" s="3">
        <f>IFERROR(__xludf.DUMMYFUNCTION("""COMPUTED_VALUE"""),51.0)</f>
        <v>51</v>
      </c>
    </row>
    <row r="376">
      <c r="A376" s="3">
        <f>IFERROR(__xludf.DUMMYFUNCTION("""COMPUTED_VALUE"""),160580.0)</f>
        <v>160580</v>
      </c>
    </row>
    <row r="377">
      <c r="A377" s="3">
        <f>IFERROR(__xludf.DUMMYFUNCTION("""COMPUTED_VALUE"""),513743.0)</f>
        <v>513743</v>
      </c>
    </row>
    <row r="378">
      <c r="A378" s="3">
        <f>IFERROR(__xludf.DUMMYFUNCTION("""COMPUTED_VALUE"""),1490281.0)</f>
        <v>1490281</v>
      </c>
    </row>
    <row r="379">
      <c r="A379" s="3">
        <f>IFERROR(__xludf.DUMMYFUNCTION("""COMPUTED_VALUE"""),4282144.0)</f>
        <v>4282144</v>
      </c>
    </row>
    <row r="380">
      <c r="A380" s="3">
        <f>IFERROR(__xludf.DUMMYFUNCTION("""COMPUTED_VALUE"""),1381355.0)</f>
        <v>1381355</v>
      </c>
    </row>
    <row r="381">
      <c r="A381" s="3">
        <f>IFERROR(__xludf.DUMMYFUNCTION("""COMPUTED_VALUE"""),1534839.0)</f>
        <v>1534839</v>
      </c>
    </row>
    <row r="382">
      <c r="A382" s="3">
        <f>IFERROR(__xludf.DUMMYFUNCTION("""COMPUTED_VALUE"""),328796.0)</f>
        <v>328796</v>
      </c>
    </row>
    <row r="383">
      <c r="A383" s="3">
        <f>IFERROR(__xludf.DUMMYFUNCTION("""COMPUTED_VALUE"""),62219.0)</f>
        <v>62219</v>
      </c>
    </row>
    <row r="384">
      <c r="A384" s="3">
        <f>IFERROR(__xludf.DUMMYFUNCTION("""COMPUTED_VALUE"""),519365.0)</f>
        <v>519365</v>
      </c>
    </row>
    <row r="385">
      <c r="A385" s="3">
        <f>IFERROR(__xludf.DUMMYFUNCTION("""COMPUTED_VALUE"""),56606.0)</f>
        <v>56606</v>
      </c>
    </row>
    <row r="386">
      <c r="A386" s="3">
        <f>IFERROR(__xludf.DUMMYFUNCTION("""COMPUTED_VALUE"""),200979.0)</f>
        <v>200979</v>
      </c>
    </row>
    <row r="387">
      <c r="A387" s="3">
        <f>IFERROR(__xludf.DUMMYFUNCTION("""COMPUTED_VALUE"""),772648.0)</f>
        <v>772648</v>
      </c>
    </row>
    <row r="388">
      <c r="A388" s="3">
        <f>IFERROR(__xludf.DUMMYFUNCTION("""COMPUTED_VALUE"""),32808.0)</f>
        <v>32808</v>
      </c>
    </row>
    <row r="389">
      <c r="A389" s="3">
        <f>IFERROR(__xludf.DUMMYFUNCTION("""COMPUTED_VALUE"""),1825160.0)</f>
        <v>1825160</v>
      </c>
    </row>
    <row r="390">
      <c r="A390" s="3">
        <f>IFERROR(__xludf.DUMMYFUNCTION("""COMPUTED_VALUE"""),3500000.0)</f>
        <v>3500000</v>
      </c>
    </row>
    <row r="391">
      <c r="A391" s="3">
        <f>IFERROR(__xludf.DUMMYFUNCTION("""COMPUTED_VALUE"""),872604.0)</f>
        <v>872604</v>
      </c>
    </row>
    <row r="392">
      <c r="A392" s="3">
        <f>IFERROR(__xludf.DUMMYFUNCTION("""COMPUTED_VALUE"""),580150.0)</f>
        <v>580150</v>
      </c>
    </row>
    <row r="393">
      <c r="A393" s="3">
        <f>IFERROR(__xludf.DUMMYFUNCTION("""COMPUTED_VALUE"""),1124063.0)</f>
        <v>1124063</v>
      </c>
    </row>
    <row r="394">
      <c r="A394" s="3">
        <f>IFERROR(__xludf.DUMMYFUNCTION("""COMPUTED_VALUE"""),75.0)</f>
        <v>75</v>
      </c>
    </row>
    <row r="395">
      <c r="A395" s="3">
        <f>IFERROR(__xludf.DUMMYFUNCTION("""COMPUTED_VALUE"""),150.0)</f>
        <v>150</v>
      </c>
    </row>
    <row r="396">
      <c r="A396" s="3">
        <f>IFERROR(__xludf.DUMMYFUNCTION("""COMPUTED_VALUE"""),27.0)</f>
        <v>27</v>
      </c>
    </row>
    <row r="397">
      <c r="A397" s="3">
        <f>IFERROR(__xludf.DUMMYFUNCTION("""COMPUTED_VALUE"""),26122.0)</f>
        <v>26122</v>
      </c>
    </row>
    <row r="398">
      <c r="A398" s="3">
        <f>IFERROR(__xludf.DUMMYFUNCTION("""COMPUTED_VALUE"""),2903556.0)</f>
        <v>2903556</v>
      </c>
    </row>
    <row r="399">
      <c r="A399" s="3">
        <f>IFERROR(__xludf.DUMMYFUNCTION("""COMPUTED_VALUE"""),1868000.0)</f>
        <v>1868000</v>
      </c>
    </row>
    <row r="400">
      <c r="A400" s="3">
        <f>IFERROR(__xludf.DUMMYFUNCTION("""COMPUTED_VALUE"""),30418.0)</f>
        <v>30418</v>
      </c>
    </row>
    <row r="401">
      <c r="A401" s="3">
        <f>IFERROR(__xludf.DUMMYFUNCTION("""COMPUTED_VALUE"""),1709915.0)</f>
        <v>1709915</v>
      </c>
    </row>
    <row r="402">
      <c r="A402" s="3">
        <f>IFERROR(__xludf.DUMMYFUNCTION("""COMPUTED_VALUE"""),1198038.0)</f>
        <v>1198038</v>
      </c>
    </row>
    <row r="403">
      <c r="A403" s="3">
        <f>IFERROR(__xludf.DUMMYFUNCTION("""COMPUTED_VALUE"""),1103782.0)</f>
        <v>1103782</v>
      </c>
    </row>
    <row r="404">
      <c r="A404" s="3">
        <f>IFERROR(__xludf.DUMMYFUNCTION("""COMPUTED_VALUE"""),950636.0)</f>
        <v>950636</v>
      </c>
    </row>
    <row r="405">
      <c r="A405" s="3">
        <f>IFERROR(__xludf.DUMMYFUNCTION("""COMPUTED_VALUE"""),2332149.0)</f>
        <v>2332149</v>
      </c>
    </row>
    <row r="406">
      <c r="A406" s="3">
        <f>IFERROR(__xludf.DUMMYFUNCTION("""COMPUTED_VALUE"""),1477340.0)</f>
        <v>1477340</v>
      </c>
    </row>
    <row r="407">
      <c r="A407" s="3">
        <f>IFERROR(__xludf.DUMMYFUNCTION("""COMPUTED_VALUE"""),1043598.0)</f>
        <v>1043598</v>
      </c>
    </row>
    <row r="408">
      <c r="A408" s="3">
        <f>IFERROR(__xludf.DUMMYFUNCTION("""COMPUTED_VALUE"""),15049.0)</f>
        <v>15049</v>
      </c>
    </row>
    <row r="409">
      <c r="A409" s="3">
        <f>IFERROR(__xludf.DUMMYFUNCTION("""COMPUTED_VALUE"""),226047.0)</f>
        <v>226047</v>
      </c>
    </row>
    <row r="410">
      <c r="A410" s="3">
        <f>IFERROR(__xludf.DUMMYFUNCTION("""COMPUTED_VALUE"""),1225579.0)</f>
        <v>1225579</v>
      </c>
    </row>
    <row r="411">
      <c r="A411" s="3">
        <f>IFERROR(__xludf.DUMMYFUNCTION("""COMPUTED_VALUE"""),54962.0)</f>
        <v>54962</v>
      </c>
    </row>
    <row r="412">
      <c r="A412" s="3">
        <f>IFERROR(__xludf.DUMMYFUNCTION("""COMPUTED_VALUE"""),1621204.0)</f>
        <v>1621204</v>
      </c>
    </row>
    <row r="413">
      <c r="A413" s="3">
        <f>IFERROR(__xludf.DUMMYFUNCTION("""COMPUTED_VALUE"""),304193.0)</f>
        <v>304193</v>
      </c>
    </row>
    <row r="414">
      <c r="A414" s="3">
        <f>IFERROR(__xludf.DUMMYFUNCTION("""COMPUTED_VALUE"""),637.0)</f>
        <v>637</v>
      </c>
    </row>
    <row r="415">
      <c r="A415" s="3">
        <f>IFERROR(__xludf.DUMMYFUNCTION("""COMPUTED_VALUE"""),344648.0)</f>
        <v>344648</v>
      </c>
    </row>
    <row r="416">
      <c r="A416" s="3">
        <f>IFERROR(__xludf.DUMMYFUNCTION("""COMPUTED_VALUE"""),63.0)</f>
        <v>63</v>
      </c>
    </row>
    <row r="417">
      <c r="A417" s="3">
        <f>IFERROR(__xludf.DUMMYFUNCTION("""COMPUTED_VALUE"""),35306.0)</f>
        <v>35306</v>
      </c>
    </row>
    <row r="418">
      <c r="A418" s="3">
        <f>IFERROR(__xludf.DUMMYFUNCTION("""COMPUTED_VALUE"""),641727.0)</f>
        <v>641727</v>
      </c>
    </row>
    <row r="419">
      <c r="A419" s="3">
        <f>IFERROR(__xludf.DUMMYFUNCTION("""COMPUTED_VALUE"""),3070054.0)</f>
        <v>3070054</v>
      </c>
    </row>
    <row r="420">
      <c r="A420" s="3">
        <f>IFERROR(__xludf.DUMMYFUNCTION("""COMPUTED_VALUE"""),30953.0)</f>
        <v>30953</v>
      </c>
    </row>
    <row r="421">
      <c r="A421" s="3">
        <f>IFERROR(__xludf.DUMMYFUNCTION("""COMPUTED_VALUE"""),1430000.0)</f>
        <v>1430000</v>
      </c>
    </row>
    <row r="422">
      <c r="A422" s="3">
        <f>IFERROR(__xludf.DUMMYFUNCTION("""COMPUTED_VALUE"""),382412.0)</f>
        <v>382412</v>
      </c>
    </row>
    <row r="423">
      <c r="A423" s="3">
        <f>IFERROR(__xludf.DUMMYFUNCTION("""COMPUTED_VALUE"""),904403.0)</f>
        <v>904403</v>
      </c>
    </row>
    <row r="424">
      <c r="A424" s="3">
        <f>IFERROR(__xludf.DUMMYFUNCTION("""COMPUTED_VALUE"""),43081.0)</f>
        <v>43081</v>
      </c>
    </row>
    <row r="425">
      <c r="A425" s="3">
        <f>IFERROR(__xludf.DUMMYFUNCTION("""COMPUTED_VALUE"""),1980492.0)</f>
        <v>1980492</v>
      </c>
    </row>
    <row r="426">
      <c r="A426" s="3">
        <f>IFERROR(__xludf.DUMMYFUNCTION("""COMPUTED_VALUE"""),9568943.0)</f>
        <v>9568943</v>
      </c>
    </row>
    <row r="427">
      <c r="A427" s="3">
        <f>IFERROR(__xludf.DUMMYFUNCTION("""COMPUTED_VALUE"""),20740.0)</f>
        <v>20740</v>
      </c>
    </row>
    <row r="428">
      <c r="A428" s="3">
        <f>IFERROR(__xludf.DUMMYFUNCTION("""COMPUTED_VALUE"""),10318.0)</f>
        <v>10318</v>
      </c>
    </row>
    <row r="429">
      <c r="A429" s="3">
        <f>IFERROR(__xludf.DUMMYFUNCTION("""COMPUTED_VALUE"""),46750.0)</f>
        <v>46750</v>
      </c>
    </row>
    <row r="430">
      <c r="A430" s="3">
        <f>IFERROR(__xludf.DUMMYFUNCTION("""COMPUTED_VALUE"""),75.0)</f>
        <v>75</v>
      </c>
    </row>
    <row r="431">
      <c r="A431" s="3">
        <f>IFERROR(__xludf.DUMMYFUNCTION("""COMPUTED_VALUE"""),1674802.0)</f>
        <v>1674802</v>
      </c>
    </row>
    <row r="432">
      <c r="A432" s="3">
        <f>IFERROR(__xludf.DUMMYFUNCTION("""COMPUTED_VALUE"""),401958.0)</f>
        <v>401958</v>
      </c>
    </row>
    <row r="433">
      <c r="A433" s="3">
        <f>IFERROR(__xludf.DUMMYFUNCTION("""COMPUTED_VALUE"""),2360899.0)</f>
        <v>2360899</v>
      </c>
    </row>
    <row r="434">
      <c r="A434" s="3">
        <f>IFERROR(__xludf.DUMMYFUNCTION("""COMPUTED_VALUE"""),845000.0)</f>
        <v>845000</v>
      </c>
    </row>
    <row r="435">
      <c r="A435" s="3">
        <f>IFERROR(__xludf.DUMMYFUNCTION("""COMPUTED_VALUE"""),1343505.0)</f>
        <v>1343505</v>
      </c>
    </row>
    <row r="436">
      <c r="A436" s="3">
        <f>IFERROR(__xludf.DUMMYFUNCTION("""COMPUTED_VALUE"""),1517028.0)</f>
        <v>1517028</v>
      </c>
    </row>
    <row r="437">
      <c r="A437" s="3">
        <f>IFERROR(__xludf.DUMMYFUNCTION("""COMPUTED_VALUE"""),259682.0)</f>
        <v>259682</v>
      </c>
    </row>
    <row r="438">
      <c r="A438" s="3">
        <f>IFERROR(__xludf.DUMMYFUNCTION("""COMPUTED_VALUE"""),18697.0)</f>
        <v>18697</v>
      </c>
    </row>
    <row r="439">
      <c r="A439" s="3">
        <f>IFERROR(__xludf.DUMMYFUNCTION("""COMPUTED_VALUE"""),208977.0)</f>
        <v>208977</v>
      </c>
    </row>
    <row r="440">
      <c r="A440" s="3">
        <f>IFERROR(__xludf.DUMMYFUNCTION("""COMPUTED_VALUE"""),26230.0)</f>
        <v>26230</v>
      </c>
    </row>
    <row r="441">
      <c r="A441" s="3">
        <f>IFERROR(__xludf.DUMMYFUNCTION("""COMPUTED_VALUE"""),206356.0)</f>
        <v>206356</v>
      </c>
    </row>
    <row r="442">
      <c r="A442" s="3">
        <f>IFERROR(__xludf.DUMMYFUNCTION("""COMPUTED_VALUE"""),462369.0)</f>
        <v>462369</v>
      </c>
    </row>
    <row r="443">
      <c r="A443" s="3">
        <f>IFERROR(__xludf.DUMMYFUNCTION("""COMPUTED_VALUE"""),212940.0)</f>
        <v>212940</v>
      </c>
    </row>
    <row r="444">
      <c r="A444" s="3">
        <f>IFERROR(__xludf.DUMMYFUNCTION("""COMPUTED_VALUE"""),1883009.0)</f>
        <v>1883009</v>
      </c>
    </row>
    <row r="445">
      <c r="A445" s="3">
        <f>IFERROR(__xludf.DUMMYFUNCTION("""COMPUTED_VALUE"""),421370.0)</f>
        <v>421370</v>
      </c>
    </row>
    <row r="446">
      <c r="A446" s="3">
        <f>IFERROR(__xludf.DUMMYFUNCTION("""COMPUTED_VALUE"""),404907.0)</f>
        <v>404907</v>
      </c>
    </row>
    <row r="447">
      <c r="A447" s="3">
        <f>IFERROR(__xludf.DUMMYFUNCTION("""COMPUTED_VALUE"""),56.0)</f>
        <v>56</v>
      </c>
    </row>
    <row r="448">
      <c r="A448" s="3">
        <f>IFERROR(__xludf.DUMMYFUNCTION("""COMPUTED_VALUE"""),49235.0)</f>
        <v>49235</v>
      </c>
    </row>
    <row r="449">
      <c r="A449" s="3">
        <f>IFERROR(__xludf.DUMMYFUNCTION("""COMPUTED_VALUE"""),1673063.0)</f>
        <v>1673063</v>
      </c>
    </row>
    <row r="450">
      <c r="A450" s="3">
        <f>IFERROR(__xludf.DUMMYFUNCTION("""COMPUTED_VALUE"""),20584.0)</f>
        <v>20584</v>
      </c>
    </row>
    <row r="451">
      <c r="A451" s="3">
        <f>IFERROR(__xludf.DUMMYFUNCTION("""COMPUTED_VALUE"""),850169.0)</f>
        <v>850169</v>
      </c>
    </row>
    <row r="452">
      <c r="A452" s="3">
        <f>IFERROR(__xludf.DUMMYFUNCTION("""COMPUTED_VALUE"""),1163669.0)</f>
        <v>1163669</v>
      </c>
    </row>
    <row r="453">
      <c r="A453" s="3">
        <f>IFERROR(__xludf.DUMMYFUNCTION("""COMPUTED_VALUE"""),1973587.0)</f>
        <v>1973587</v>
      </c>
    </row>
    <row r="454">
      <c r="A454" s="3">
        <f>IFERROR(__xludf.DUMMYFUNCTION("""COMPUTED_VALUE"""),566.0)</f>
        <v>566</v>
      </c>
    </row>
    <row r="455">
      <c r="A455" s="3">
        <f>IFERROR(__xludf.DUMMYFUNCTION("""COMPUTED_VALUE"""),370468.0)</f>
        <v>370468</v>
      </c>
    </row>
    <row r="456">
      <c r="A456" s="3">
        <f>IFERROR(__xludf.DUMMYFUNCTION("""COMPUTED_VALUE"""),811180.0)</f>
        <v>811180</v>
      </c>
    </row>
    <row r="457">
      <c r="A457" s="3">
        <f>IFERROR(__xludf.DUMMYFUNCTION("""COMPUTED_VALUE"""),11247.0)</f>
        <v>11247</v>
      </c>
    </row>
    <row r="458">
      <c r="A458" s="3">
        <f>IFERROR(__xludf.DUMMYFUNCTION("""COMPUTED_VALUE"""),622.0)</f>
        <v>622</v>
      </c>
    </row>
    <row r="459">
      <c r="A459" s="3">
        <f>IFERROR(__xludf.DUMMYFUNCTION("""COMPUTED_VALUE"""),39366.0)</f>
        <v>39366</v>
      </c>
    </row>
    <row r="460">
      <c r="A460" s="3">
        <f>IFERROR(__xludf.DUMMYFUNCTION("""COMPUTED_VALUE"""),1027486.0)</f>
        <v>1027486</v>
      </c>
    </row>
    <row r="461">
      <c r="A461" s="3">
        <f>IFERROR(__xludf.DUMMYFUNCTION("""COMPUTED_VALUE"""),371441.0)</f>
        <v>371441</v>
      </c>
    </row>
    <row r="462">
      <c r="A462" s="3">
        <f>IFERROR(__xludf.DUMMYFUNCTION("""COMPUTED_VALUE"""),1253863.0)</f>
        <v>1253863</v>
      </c>
    </row>
    <row r="463">
      <c r="A463" s="3">
        <f>IFERROR(__xludf.DUMMYFUNCTION("""COMPUTED_VALUE"""),341748.0)</f>
        <v>341748</v>
      </c>
    </row>
    <row r="464">
      <c r="A464" s="3">
        <f>IFERROR(__xludf.DUMMYFUNCTION("""COMPUTED_VALUE"""),5995002.0)</f>
        <v>5995002</v>
      </c>
    </row>
    <row r="465">
      <c r="A465" s="3">
        <f>IFERROR(__xludf.DUMMYFUNCTION("""COMPUTED_VALUE"""),668498.0)</f>
        <v>668498</v>
      </c>
    </row>
    <row r="466">
      <c r="A466" s="3">
        <f>IFERROR(__xludf.DUMMYFUNCTION("""COMPUTED_VALUE"""),15438.0)</f>
        <v>15438</v>
      </c>
    </row>
    <row r="467">
      <c r="A467" s="3">
        <f>IFERROR(__xludf.DUMMYFUNCTION("""COMPUTED_VALUE"""),360220.0)</f>
        <v>360220</v>
      </c>
    </row>
    <row r="468">
      <c r="A468" s="3">
        <f>IFERROR(__xludf.DUMMYFUNCTION("""COMPUTED_VALUE"""),1994432.0)</f>
        <v>1994432</v>
      </c>
    </row>
    <row r="469">
      <c r="A469" s="3">
        <f>IFERROR(__xludf.DUMMYFUNCTION("""COMPUTED_VALUE"""),488541.0)</f>
        <v>488541</v>
      </c>
    </row>
    <row r="470">
      <c r="A470" s="3">
        <f>IFERROR(__xludf.DUMMYFUNCTION("""COMPUTED_VALUE"""),1391697.0)</f>
        <v>1391697</v>
      </c>
    </row>
    <row r="471">
      <c r="A471" s="3">
        <f>IFERROR(__xludf.DUMMYFUNCTION("""COMPUTED_VALUE"""),1298412.0)</f>
        <v>1298412</v>
      </c>
    </row>
    <row r="472">
      <c r="A472" s="3">
        <f>IFERROR(__xludf.DUMMYFUNCTION("""COMPUTED_VALUE"""),2455743.0)</f>
        <v>2455743</v>
      </c>
    </row>
    <row r="473">
      <c r="A473" s="3">
        <f>IFERROR(__xludf.DUMMYFUNCTION("""COMPUTED_VALUE"""),1708740.0)</f>
        <v>1708740</v>
      </c>
    </row>
    <row r="474">
      <c r="A474" s="3">
        <f>IFERROR(__xludf.DUMMYFUNCTION("""COMPUTED_VALUE"""),7524456.0)</f>
        <v>7524456</v>
      </c>
    </row>
    <row r="475">
      <c r="A475" s="3">
        <f>IFERROR(__xludf.DUMMYFUNCTION("""COMPUTED_VALUE"""),251393.0)</f>
        <v>251393</v>
      </c>
    </row>
    <row r="476">
      <c r="A476" s="3">
        <f>IFERROR(__xludf.DUMMYFUNCTION("""COMPUTED_VALUE"""),2376590.0)</f>
        <v>2376590</v>
      </c>
    </row>
    <row r="477">
      <c r="A477" s="3">
        <f>IFERROR(__xludf.DUMMYFUNCTION("""COMPUTED_VALUE"""),1746726.0)</f>
        <v>1746726</v>
      </c>
    </row>
    <row r="478">
      <c r="A478" s="3">
        <f>IFERROR(__xludf.DUMMYFUNCTION("""COMPUTED_VALUE"""),1.0)</f>
        <v>1</v>
      </c>
    </row>
    <row r="479">
      <c r="A479" s="3">
        <f>IFERROR(__xludf.DUMMYFUNCTION("""COMPUTED_VALUE"""),325000.0)</f>
        <v>325000</v>
      </c>
    </row>
    <row r="480">
      <c r="A480" s="3">
        <f>IFERROR(__xludf.DUMMYFUNCTION("""COMPUTED_VALUE"""),74938.0)</f>
        <v>74938</v>
      </c>
    </row>
    <row r="481">
      <c r="A481" s="3">
        <f>IFERROR(__xludf.DUMMYFUNCTION("""COMPUTED_VALUE"""),1693803.0)</f>
        <v>1693803</v>
      </c>
    </row>
    <row r="482">
      <c r="A482" s="3">
        <f>IFERROR(__xludf.DUMMYFUNCTION("""COMPUTED_VALUE"""),18199.0)</f>
        <v>18199</v>
      </c>
    </row>
    <row r="483">
      <c r="A483" s="3">
        <f>IFERROR(__xludf.DUMMYFUNCTION("""COMPUTED_VALUE"""),351141.0)</f>
        <v>351141</v>
      </c>
    </row>
    <row r="484">
      <c r="A484" s="3">
        <f>IFERROR(__xludf.DUMMYFUNCTION("""COMPUTED_VALUE"""),1849475.0)</f>
        <v>1849475</v>
      </c>
    </row>
    <row r="485">
      <c r="A485" s="3">
        <f>IFERROR(__xludf.DUMMYFUNCTION("""COMPUTED_VALUE"""),108230.0)</f>
        <v>108230</v>
      </c>
    </row>
    <row r="486">
      <c r="A486" s="3">
        <f>IFERROR(__xludf.DUMMYFUNCTION("""COMPUTED_VALUE"""),999998.0)</f>
        <v>999998</v>
      </c>
    </row>
    <row r="487">
      <c r="A487" s="3">
        <f>IFERROR(__xludf.DUMMYFUNCTION("""COMPUTED_VALUE"""),37584.0)</f>
        <v>37584</v>
      </c>
    </row>
    <row r="488">
      <c r="A488" s="3">
        <f>IFERROR(__xludf.DUMMYFUNCTION("""COMPUTED_VALUE"""),161554.0)</f>
        <v>161554</v>
      </c>
    </row>
    <row r="489">
      <c r="A489" s="3">
        <f>IFERROR(__xludf.DUMMYFUNCTION("""COMPUTED_VALUE"""),846233.0)</f>
        <v>846233</v>
      </c>
    </row>
    <row r="490">
      <c r="A490" s="3">
        <f>IFERROR(__xludf.DUMMYFUNCTION("""COMPUTED_VALUE"""),2433547.0)</f>
        <v>2433547</v>
      </c>
    </row>
    <row r="491">
      <c r="A491" s="3">
        <f>IFERROR(__xludf.DUMMYFUNCTION("""COMPUTED_VALUE"""),4514674.0)</f>
        <v>4514674</v>
      </c>
    </row>
    <row r="492">
      <c r="A492" s="3">
        <f>IFERROR(__xludf.DUMMYFUNCTION("""COMPUTED_VALUE"""),38493.0)</f>
        <v>38493</v>
      </c>
    </row>
    <row r="493">
      <c r="A493" s="3">
        <f>IFERROR(__xludf.DUMMYFUNCTION("""COMPUTED_VALUE"""),700011.0)</f>
        <v>700011</v>
      </c>
    </row>
    <row r="494">
      <c r="A494" s="3">
        <f>IFERROR(__xludf.DUMMYFUNCTION("""COMPUTED_VALUE"""),617520.0)</f>
        <v>617520</v>
      </c>
    </row>
    <row r="495">
      <c r="A495" s="3">
        <f>IFERROR(__xludf.DUMMYFUNCTION("""COMPUTED_VALUE"""),11142.0)</f>
        <v>11142</v>
      </c>
    </row>
    <row r="496">
      <c r="A496" s="3">
        <f>IFERROR(__xludf.DUMMYFUNCTION("""COMPUTED_VALUE"""),730802.0)</f>
        <v>730802</v>
      </c>
    </row>
    <row r="497">
      <c r="A497" s="3">
        <f>IFERROR(__xludf.DUMMYFUNCTION("""COMPUTED_VALUE"""),1324539.0)</f>
        <v>1324539</v>
      </c>
    </row>
    <row r="498">
      <c r="A498" s="3">
        <f>IFERROR(__xludf.DUMMYFUNCTION("""COMPUTED_VALUE"""),1983605.0)</f>
        <v>1983605</v>
      </c>
    </row>
    <row r="499">
      <c r="A499" s="3">
        <f>IFERROR(__xludf.DUMMYFUNCTION("""COMPUTED_VALUE"""),44.0)</f>
        <v>44</v>
      </c>
    </row>
    <row r="500">
      <c r="A500" s="3">
        <f>IFERROR(__xludf.DUMMYFUNCTION("""COMPUTED_VALUE"""),12381.0)</f>
        <v>12381</v>
      </c>
    </row>
    <row r="501">
      <c r="A501" s="3">
        <f>IFERROR(__xludf.DUMMYFUNCTION("""COMPUTED_VALUE"""),70655.0)</f>
        <v>70655</v>
      </c>
    </row>
    <row r="502">
      <c r="A502" s="3">
        <f>IFERROR(__xludf.DUMMYFUNCTION("""COMPUTED_VALUE"""),28119.0)</f>
        <v>28119</v>
      </c>
    </row>
    <row r="503">
      <c r="A503" s="3">
        <f>IFERROR(__xludf.DUMMYFUNCTION("""COMPUTED_VALUE"""),36143.0)</f>
        <v>36143</v>
      </c>
    </row>
    <row r="504">
      <c r="A504" s="3">
        <f>IFERROR(__xludf.DUMMYFUNCTION("""COMPUTED_VALUE"""),1937670.0)</f>
        <v>1937670</v>
      </c>
    </row>
    <row r="505">
      <c r="A505" s="3">
        <f>IFERROR(__xludf.DUMMYFUNCTION("""COMPUTED_VALUE"""),189616.0)</f>
        <v>189616</v>
      </c>
    </row>
    <row r="506">
      <c r="A506" s="3">
        <f>IFERROR(__xludf.DUMMYFUNCTION("""COMPUTED_VALUE"""),1541228.0)</f>
        <v>1541228</v>
      </c>
    </row>
    <row r="507">
      <c r="A507" s="3">
        <f>IFERROR(__xludf.DUMMYFUNCTION("""COMPUTED_VALUE"""),2194861.0)</f>
        <v>2194861</v>
      </c>
    </row>
    <row r="508">
      <c r="A508" s="3">
        <f>IFERROR(__xludf.DUMMYFUNCTION("""COMPUTED_VALUE"""),4885471.0)</f>
        <v>4885471</v>
      </c>
    </row>
    <row r="509">
      <c r="A509" s="3">
        <f>IFERROR(__xludf.DUMMYFUNCTION("""COMPUTED_VALUE"""),1600600.0)</f>
        <v>1600600</v>
      </c>
    </row>
    <row r="510">
      <c r="A510" s="3">
        <f>IFERROR(__xludf.DUMMYFUNCTION("""COMPUTED_VALUE"""),22000.0)</f>
        <v>22000</v>
      </c>
    </row>
    <row r="511">
      <c r="A511" s="3">
        <f>IFERROR(__xludf.DUMMYFUNCTION("""COMPUTED_VALUE"""),73.0)</f>
        <v>73</v>
      </c>
    </row>
    <row r="512">
      <c r="A512" s="3">
        <f>IFERROR(__xludf.DUMMYFUNCTION("""COMPUTED_VALUE"""),883159.0)</f>
        <v>883159</v>
      </c>
    </row>
    <row r="513">
      <c r="A513" s="3">
        <f>IFERROR(__xludf.DUMMYFUNCTION("""COMPUTED_VALUE"""),1880795.0)</f>
        <v>1880795</v>
      </c>
    </row>
    <row r="514">
      <c r="A514" s="3">
        <f>IFERROR(__xludf.DUMMYFUNCTION("""COMPUTED_VALUE"""),1123652.0)</f>
        <v>1123652</v>
      </c>
    </row>
    <row r="515">
      <c r="A515" s="3">
        <f>IFERROR(__xludf.DUMMYFUNCTION("""COMPUTED_VALUE"""),17996.0)</f>
        <v>17996</v>
      </c>
    </row>
    <row r="516">
      <c r="A516" s="3">
        <f>IFERROR(__xludf.DUMMYFUNCTION("""COMPUTED_VALUE"""),1239174.0)</f>
        <v>1239174</v>
      </c>
    </row>
    <row r="517">
      <c r="A517" s="3">
        <f>IFERROR(__xludf.DUMMYFUNCTION("""COMPUTED_VALUE"""),926.0)</f>
        <v>926</v>
      </c>
    </row>
    <row r="518">
      <c r="A518" s="3">
        <f>IFERROR(__xludf.DUMMYFUNCTION("""COMPUTED_VALUE"""),409290.0)</f>
        <v>409290</v>
      </c>
    </row>
    <row r="519">
      <c r="A519" s="3">
        <f>IFERROR(__xludf.DUMMYFUNCTION("""COMPUTED_VALUE"""),309535.0)</f>
        <v>309535</v>
      </c>
    </row>
    <row r="520">
      <c r="A520" s="3">
        <f>IFERROR(__xludf.DUMMYFUNCTION("""COMPUTED_VALUE"""),666056.0)</f>
        <v>666056</v>
      </c>
    </row>
    <row r="521">
      <c r="A521" s="3">
        <f>IFERROR(__xludf.DUMMYFUNCTION("""COMPUTED_VALUE"""),3250773.0)</f>
        <v>3250773</v>
      </c>
    </row>
    <row r="522">
      <c r="A522" s="3">
        <f>IFERROR(__xludf.DUMMYFUNCTION("""COMPUTED_VALUE"""),736073.0)</f>
        <v>736073</v>
      </c>
    </row>
    <row r="523">
      <c r="A523" s="3">
        <f>IFERROR(__xludf.DUMMYFUNCTION("""COMPUTED_VALUE"""),1849758.0)</f>
        <v>1849758</v>
      </c>
    </row>
    <row r="524">
      <c r="A524" s="3">
        <f>IFERROR(__xludf.DUMMYFUNCTION("""COMPUTED_VALUE"""),13275.0)</f>
        <v>13275</v>
      </c>
    </row>
    <row r="525">
      <c r="A525" s="3">
        <f>IFERROR(__xludf.DUMMYFUNCTION("""COMPUTED_VALUE"""),538385.0)</f>
        <v>538385</v>
      </c>
    </row>
    <row r="526">
      <c r="A526" s="3">
        <f>IFERROR(__xludf.DUMMYFUNCTION("""COMPUTED_VALUE"""),36641.0)</f>
        <v>36641</v>
      </c>
    </row>
    <row r="527">
      <c r="A527" s="3">
        <f>IFERROR(__xludf.DUMMYFUNCTION("""COMPUTED_VALUE"""),35171.0)</f>
        <v>35171</v>
      </c>
    </row>
    <row r="528">
      <c r="A528" s="3">
        <f>IFERROR(__xludf.DUMMYFUNCTION("""COMPUTED_VALUE"""),3132009.0)</f>
        <v>3132009</v>
      </c>
    </row>
    <row r="529">
      <c r="A529" s="3">
        <f>IFERROR(__xludf.DUMMYFUNCTION("""COMPUTED_VALUE"""),1960385.0)</f>
        <v>1960385</v>
      </c>
    </row>
    <row r="530">
      <c r="A530" s="3">
        <f>IFERROR(__xludf.DUMMYFUNCTION("""COMPUTED_VALUE"""),88854.0)</f>
        <v>88854</v>
      </c>
    </row>
    <row r="531">
      <c r="A531" s="3">
        <f>IFERROR(__xludf.DUMMYFUNCTION("""COMPUTED_VALUE"""),361426.0)</f>
        <v>361426</v>
      </c>
    </row>
    <row r="532">
      <c r="A532" s="3">
        <f>IFERROR(__xludf.DUMMYFUNCTION("""COMPUTED_VALUE"""),1635359.0)</f>
        <v>1635359</v>
      </c>
    </row>
    <row r="533">
      <c r="A533" s="3">
        <f>IFERROR(__xludf.DUMMYFUNCTION("""COMPUTED_VALUE"""),502235.0)</f>
        <v>502235</v>
      </c>
    </row>
    <row r="534">
      <c r="A534" s="3">
        <f>IFERROR(__xludf.DUMMYFUNCTION("""COMPUTED_VALUE"""),52244.0)</f>
        <v>52244</v>
      </c>
    </row>
    <row r="535">
      <c r="A535" s="3">
        <f>IFERROR(__xludf.DUMMYFUNCTION("""COMPUTED_VALUE"""),60839.0)</f>
        <v>60839</v>
      </c>
    </row>
    <row r="536">
      <c r="A536" s="3">
        <f>IFERROR(__xludf.DUMMYFUNCTION("""COMPUTED_VALUE"""),21672.0)</f>
        <v>21672</v>
      </c>
    </row>
    <row r="537">
      <c r="A537" s="3">
        <f>IFERROR(__xludf.DUMMYFUNCTION("""COMPUTED_VALUE"""),1706945.0)</f>
        <v>1706945</v>
      </c>
    </row>
    <row r="538">
      <c r="A538" s="3">
        <f>IFERROR(__xludf.DUMMYFUNCTION("""COMPUTED_VALUE"""),405591.0)</f>
        <v>405591</v>
      </c>
    </row>
    <row r="539">
      <c r="A539" s="3">
        <f>IFERROR(__xludf.DUMMYFUNCTION("""COMPUTED_VALUE"""),852772.0)</f>
        <v>852772</v>
      </c>
    </row>
    <row r="540">
      <c r="A540" s="3">
        <f>IFERROR(__xludf.DUMMYFUNCTION("""COMPUTED_VALUE"""),102323.0)</f>
        <v>102323</v>
      </c>
    </row>
    <row r="541">
      <c r="A541" s="3">
        <f>IFERROR(__xludf.DUMMYFUNCTION("""COMPUTED_VALUE"""),888153.0)</f>
        <v>888153</v>
      </c>
    </row>
    <row r="542">
      <c r="A542" s="3">
        <f>IFERROR(__xludf.DUMMYFUNCTION("""COMPUTED_VALUE"""),2992992.0)</f>
        <v>2992992</v>
      </c>
    </row>
    <row r="543">
      <c r="A543" s="3">
        <f>IFERROR(__xludf.DUMMYFUNCTION("""COMPUTED_VALUE"""),36836.0)</f>
        <v>36836</v>
      </c>
    </row>
    <row r="544">
      <c r="A544" s="3">
        <f>IFERROR(__xludf.DUMMYFUNCTION("""COMPUTED_VALUE"""),50613.0)</f>
        <v>50613</v>
      </c>
    </row>
    <row r="545">
      <c r="A545" s="3">
        <f>IFERROR(__xludf.DUMMYFUNCTION("""COMPUTED_VALUE"""),24660.0)</f>
        <v>24660</v>
      </c>
    </row>
    <row r="546">
      <c r="A546" s="3">
        <f>IFERROR(__xludf.DUMMYFUNCTION("""COMPUTED_VALUE"""),1350349.0)</f>
        <v>1350349</v>
      </c>
    </row>
    <row r="547">
      <c r="A547" s="3">
        <f>IFERROR(__xludf.DUMMYFUNCTION("""COMPUTED_VALUE"""),31.0)</f>
        <v>31</v>
      </c>
    </row>
    <row r="548">
      <c r="A548" s="3">
        <f>IFERROR(__xludf.DUMMYFUNCTION("""COMPUTED_VALUE"""),1904025.0)</f>
        <v>1904025</v>
      </c>
    </row>
    <row r="549">
      <c r="A549" s="3">
        <f>IFERROR(__xludf.DUMMYFUNCTION("""COMPUTED_VALUE"""),622.0)</f>
        <v>622</v>
      </c>
    </row>
    <row r="550">
      <c r="A550" s="3">
        <f>IFERROR(__xludf.DUMMYFUNCTION("""COMPUTED_VALUE"""),56274.0)</f>
        <v>56274</v>
      </c>
    </row>
    <row r="551">
      <c r="A551" s="3">
        <f>IFERROR(__xludf.DUMMYFUNCTION("""COMPUTED_VALUE"""),437437.0)</f>
        <v>437437</v>
      </c>
    </row>
    <row r="552">
      <c r="A552" s="3">
        <f>IFERROR(__xludf.DUMMYFUNCTION("""COMPUTED_VALUE"""),1962431.0)</f>
        <v>1962431</v>
      </c>
    </row>
    <row r="553">
      <c r="A553" s="3">
        <f>IFERROR(__xludf.DUMMYFUNCTION("""COMPUTED_VALUE"""),1841987.0)</f>
        <v>1841987</v>
      </c>
    </row>
    <row r="554">
      <c r="A554" s="3">
        <f>IFERROR(__xludf.DUMMYFUNCTION("""COMPUTED_VALUE"""),15660.0)</f>
        <v>15660</v>
      </c>
    </row>
    <row r="555">
      <c r="A555" s="3">
        <f>IFERROR(__xludf.DUMMYFUNCTION("""COMPUTED_VALUE"""),1206266.0)</f>
        <v>1206266</v>
      </c>
    </row>
    <row r="556">
      <c r="A556" s="3">
        <f>IFERROR(__xludf.DUMMYFUNCTION("""COMPUTED_VALUE"""),23.0)</f>
        <v>23</v>
      </c>
    </row>
    <row r="557">
      <c r="A557" s="3">
        <f>IFERROR(__xludf.DUMMYFUNCTION("""COMPUTED_VALUE"""),1432516.0)</f>
        <v>1432516</v>
      </c>
    </row>
    <row r="558">
      <c r="A558" s="3">
        <f>IFERROR(__xludf.DUMMYFUNCTION("""COMPUTED_VALUE"""),1507.0)</f>
        <v>1507</v>
      </c>
    </row>
    <row r="559">
      <c r="A559" s="3">
        <f>IFERROR(__xludf.DUMMYFUNCTION("""COMPUTED_VALUE"""),783002.0)</f>
        <v>783002</v>
      </c>
    </row>
    <row r="560">
      <c r="A560" s="3">
        <f>IFERROR(__xludf.DUMMYFUNCTION("""COMPUTED_VALUE"""),207.0)</f>
        <v>207</v>
      </c>
    </row>
    <row r="561">
      <c r="A561" s="3">
        <f>IFERROR(__xludf.DUMMYFUNCTION("""COMPUTED_VALUE"""),1634312.0)</f>
        <v>1634312</v>
      </c>
    </row>
    <row r="562">
      <c r="A562" s="3">
        <f>IFERROR(__xludf.DUMMYFUNCTION("""COMPUTED_VALUE"""),1850000.0)</f>
        <v>1850000</v>
      </c>
    </row>
    <row r="563">
      <c r="A563" s="3">
        <f>IFERROR(__xludf.DUMMYFUNCTION("""COMPUTED_VALUE"""),235.0)</f>
        <v>235</v>
      </c>
    </row>
    <row r="564">
      <c r="A564" s="3">
        <f>IFERROR(__xludf.DUMMYFUNCTION("""COMPUTED_VALUE"""),2581613.0)</f>
        <v>2581613</v>
      </c>
    </row>
    <row r="565">
      <c r="A565" s="3">
        <f>IFERROR(__xludf.DUMMYFUNCTION("""COMPUTED_VALUE"""),2512238.0)</f>
        <v>2512238</v>
      </c>
    </row>
    <row r="566">
      <c r="A566" s="3">
        <f>IFERROR(__xludf.DUMMYFUNCTION("""COMPUTED_VALUE"""),742880.0)</f>
        <v>742880</v>
      </c>
    </row>
    <row r="567">
      <c r="A567" s="3">
        <f>IFERROR(__xludf.DUMMYFUNCTION("""COMPUTED_VALUE"""),1125549.0)</f>
        <v>1125549</v>
      </c>
    </row>
    <row r="568">
      <c r="A568" s="3">
        <f>IFERROR(__xludf.DUMMYFUNCTION("""COMPUTED_VALUE"""),1288025.0)</f>
        <v>1288025</v>
      </c>
    </row>
    <row r="569">
      <c r="A569" s="3">
        <f>IFERROR(__xludf.DUMMYFUNCTION("""COMPUTED_VALUE"""),722612.0)</f>
        <v>722612</v>
      </c>
    </row>
    <row r="570">
      <c r="A570" s="3">
        <f>IFERROR(__xludf.DUMMYFUNCTION("""COMPUTED_VALUE"""),57698.0)</f>
        <v>57698</v>
      </c>
    </row>
    <row r="571">
      <c r="A571" s="3">
        <f>IFERROR(__xludf.DUMMYFUNCTION("""COMPUTED_VALUE"""),1693373.0)</f>
        <v>1693373</v>
      </c>
    </row>
    <row r="572">
      <c r="A572" s="3">
        <f>IFERROR(__xludf.DUMMYFUNCTION("""COMPUTED_VALUE"""),62.0)</f>
        <v>62</v>
      </c>
    </row>
    <row r="573">
      <c r="A573" s="3">
        <f>IFERROR(__xludf.DUMMYFUNCTION("""COMPUTED_VALUE"""),1712858.0)</f>
        <v>1712858</v>
      </c>
    </row>
    <row r="574">
      <c r="A574" s="3">
        <f>IFERROR(__xludf.DUMMYFUNCTION("""COMPUTED_VALUE"""),75.0)</f>
        <v>75</v>
      </c>
    </row>
    <row r="575">
      <c r="A575" s="3">
        <f>IFERROR(__xludf.DUMMYFUNCTION("""COMPUTED_VALUE"""),740000.0)</f>
        <v>740000</v>
      </c>
    </row>
    <row r="576">
      <c r="A576" s="3">
        <f>IFERROR(__xludf.DUMMYFUNCTION("""COMPUTED_VALUE"""),1480908.0)</f>
        <v>1480908</v>
      </c>
    </row>
    <row r="577">
      <c r="A577" s="3">
        <f>IFERROR(__xludf.DUMMYFUNCTION("""COMPUTED_VALUE"""),826553.0)</f>
        <v>826553</v>
      </c>
    </row>
    <row r="578">
      <c r="A578" s="3">
        <f>IFERROR(__xludf.DUMMYFUNCTION("""COMPUTED_VALUE"""),2838406.0)</f>
        <v>2838406</v>
      </c>
    </row>
    <row r="579">
      <c r="A579" s="3">
        <f>IFERROR(__xludf.DUMMYFUNCTION("""COMPUTED_VALUE"""),1336995.0)</f>
        <v>1336995</v>
      </c>
    </row>
    <row r="580">
      <c r="A580" s="3">
        <f>IFERROR(__xludf.DUMMYFUNCTION("""COMPUTED_VALUE"""),613936.0)</f>
        <v>613936</v>
      </c>
    </row>
    <row r="581">
      <c r="A581" s="3">
        <f>IFERROR(__xludf.DUMMYFUNCTION("""COMPUTED_VALUE"""),515891.0)</f>
        <v>515891</v>
      </c>
    </row>
    <row r="582">
      <c r="A582" s="3">
        <f>IFERROR(__xludf.DUMMYFUNCTION("""COMPUTED_VALUE"""),101548.0)</f>
        <v>101548</v>
      </c>
    </row>
    <row r="583">
      <c r="A583" s="3">
        <f>IFERROR(__xludf.DUMMYFUNCTION("""COMPUTED_VALUE"""),1555476.0)</f>
        <v>1555476</v>
      </c>
    </row>
    <row r="584">
      <c r="A584" s="3">
        <f>IFERROR(__xludf.DUMMYFUNCTION("""COMPUTED_VALUE"""),107054.0)</f>
        <v>107054</v>
      </c>
    </row>
    <row r="585">
      <c r="A585" s="3">
        <f>IFERROR(__xludf.DUMMYFUNCTION("""COMPUTED_VALUE"""),1073886.0)</f>
        <v>1073886</v>
      </c>
    </row>
    <row r="586">
      <c r="A586" s="3">
        <f>IFERROR(__xludf.DUMMYFUNCTION("""COMPUTED_VALUE"""),808.0)</f>
        <v>808</v>
      </c>
    </row>
    <row r="587">
      <c r="A587" s="3">
        <f>IFERROR(__xludf.DUMMYFUNCTION("""COMPUTED_VALUE"""),1244381.0)</f>
        <v>1244381</v>
      </c>
    </row>
    <row r="588">
      <c r="A588" s="3">
        <f>IFERROR(__xludf.DUMMYFUNCTION("""COMPUTED_VALUE"""),1555054.0)</f>
        <v>1555054</v>
      </c>
    </row>
    <row r="589">
      <c r="A589" s="3">
        <f>IFERROR(__xludf.DUMMYFUNCTION("""COMPUTED_VALUE"""),63.0)</f>
        <v>63</v>
      </c>
    </row>
    <row r="590">
      <c r="A590" s="3">
        <f>IFERROR(__xludf.DUMMYFUNCTION("""COMPUTED_VALUE"""),240871.0)</f>
        <v>240871</v>
      </c>
    </row>
    <row r="591">
      <c r="A591" s="3">
        <f>IFERROR(__xludf.DUMMYFUNCTION("""COMPUTED_VALUE"""),773836.0)</f>
        <v>773836</v>
      </c>
    </row>
    <row r="592">
      <c r="A592" s="3">
        <f>IFERROR(__xludf.DUMMYFUNCTION("""COMPUTED_VALUE"""),676.0)</f>
        <v>676</v>
      </c>
    </row>
    <row r="593">
      <c r="A593" s="3">
        <f>IFERROR(__xludf.DUMMYFUNCTION("""COMPUTED_VALUE"""),112474.0)</f>
        <v>112474</v>
      </c>
    </row>
    <row r="594">
      <c r="A594" s="3">
        <f>IFERROR(__xludf.DUMMYFUNCTION("""COMPUTED_VALUE"""),746629.0)</f>
        <v>746629</v>
      </c>
    </row>
    <row r="595">
      <c r="A595" s="3">
        <f>IFERROR(__xludf.DUMMYFUNCTION("""COMPUTED_VALUE"""),626402.0)</f>
        <v>626402</v>
      </c>
    </row>
    <row r="596">
      <c r="A596" s="3">
        <f>IFERROR(__xludf.DUMMYFUNCTION("""COMPUTED_VALUE"""),490608.0)</f>
        <v>490608</v>
      </c>
    </row>
    <row r="597">
      <c r="A597" s="3">
        <f>IFERROR(__xludf.DUMMYFUNCTION("""COMPUTED_VALUE"""),3447524.0)</f>
        <v>3447524</v>
      </c>
    </row>
    <row r="598">
      <c r="A598" s="3">
        <f>IFERROR(__xludf.DUMMYFUNCTION("""COMPUTED_VALUE"""),1330194.0)</f>
        <v>1330194</v>
      </c>
    </row>
    <row r="599">
      <c r="A599" s="3">
        <f>IFERROR(__xludf.DUMMYFUNCTION("""COMPUTED_VALUE"""),235379.0)</f>
        <v>235379</v>
      </c>
    </row>
    <row r="600">
      <c r="A600" s="3">
        <f>IFERROR(__xludf.DUMMYFUNCTION("""COMPUTED_VALUE"""),17.0)</f>
        <v>17</v>
      </c>
    </row>
    <row r="601">
      <c r="A601" s="3">
        <f>IFERROR(__xludf.DUMMYFUNCTION("""COMPUTED_VALUE"""),105.0)</f>
        <v>105</v>
      </c>
    </row>
    <row r="602">
      <c r="A602" s="3">
        <f>IFERROR(__xludf.DUMMYFUNCTION("""COMPUTED_VALUE"""),1727725.0)</f>
        <v>1727725</v>
      </c>
    </row>
    <row r="603">
      <c r="A603" s="3">
        <f>IFERROR(__xludf.DUMMYFUNCTION("""COMPUTED_VALUE"""),2100000.0)</f>
        <v>2100000</v>
      </c>
    </row>
    <row r="604">
      <c r="A604" s="3">
        <f>IFERROR(__xludf.DUMMYFUNCTION("""COMPUTED_VALUE"""),433436.0)</f>
        <v>433436</v>
      </c>
    </row>
    <row r="605">
      <c r="A605" s="3">
        <f>IFERROR(__xludf.DUMMYFUNCTION("""COMPUTED_VALUE"""),10449.0)</f>
        <v>10449</v>
      </c>
    </row>
    <row r="606">
      <c r="A606" s="3">
        <f>IFERROR(__xludf.DUMMYFUNCTION("""COMPUTED_VALUE"""),1567329.0)</f>
        <v>1567329</v>
      </c>
    </row>
    <row r="607">
      <c r="A607" s="3">
        <f>IFERROR(__xludf.DUMMYFUNCTION("""COMPUTED_VALUE"""),508.0)</f>
        <v>508</v>
      </c>
    </row>
    <row r="608">
      <c r="A608" s="3">
        <f>IFERROR(__xludf.DUMMYFUNCTION("""COMPUTED_VALUE"""),5385118.0)</f>
        <v>5385118</v>
      </c>
    </row>
    <row r="609">
      <c r="A609" s="3">
        <f>IFERROR(__xludf.DUMMYFUNCTION("""COMPUTED_VALUE"""),266039.0)</f>
        <v>266039</v>
      </c>
    </row>
    <row r="610">
      <c r="A610" s="3">
        <f>IFERROR(__xludf.DUMMYFUNCTION("""COMPUTED_VALUE"""),1022786.0)</f>
        <v>1022786</v>
      </c>
    </row>
    <row r="611">
      <c r="A611" s="3">
        <f>IFERROR(__xludf.DUMMYFUNCTION("""COMPUTED_VALUE"""),237.0)</f>
        <v>237</v>
      </c>
    </row>
    <row r="612">
      <c r="A612" s="3">
        <f>IFERROR(__xludf.DUMMYFUNCTION("""COMPUTED_VALUE"""),618607.0)</f>
        <v>618607</v>
      </c>
    </row>
    <row r="613">
      <c r="A613" s="3">
        <f>IFERROR(__xludf.DUMMYFUNCTION("""COMPUTED_VALUE"""),1000.0)</f>
        <v>1000</v>
      </c>
    </row>
    <row r="614">
      <c r="A614" s="3">
        <f>IFERROR(__xludf.DUMMYFUNCTION("""COMPUTED_VALUE"""),499807.0)</f>
        <v>499807</v>
      </c>
    </row>
    <row r="615">
      <c r="A615" s="3">
        <f>IFERROR(__xludf.DUMMYFUNCTION("""COMPUTED_VALUE"""),1962026.0)</f>
        <v>1962026</v>
      </c>
    </row>
    <row r="616">
      <c r="A616" s="3">
        <f>IFERROR(__xludf.DUMMYFUNCTION("""COMPUTED_VALUE"""),237.0)</f>
        <v>237</v>
      </c>
    </row>
    <row r="617">
      <c r="A617" s="3">
        <f>IFERROR(__xludf.DUMMYFUNCTION("""COMPUTED_VALUE"""),571859.0)</f>
        <v>571859</v>
      </c>
    </row>
    <row r="618">
      <c r="A618" s="3">
        <f>IFERROR(__xludf.DUMMYFUNCTION("""COMPUTED_VALUE"""),77905.0)</f>
        <v>77905</v>
      </c>
    </row>
    <row r="619">
      <c r="A619" s="3">
        <f>IFERROR(__xludf.DUMMYFUNCTION("""COMPUTED_VALUE"""),75251.0)</f>
        <v>75251</v>
      </c>
    </row>
    <row r="620">
      <c r="A620" s="3">
        <f>IFERROR(__xludf.DUMMYFUNCTION("""COMPUTED_VALUE"""),1539717.0)</f>
        <v>1539717</v>
      </c>
    </row>
    <row r="621">
      <c r="A621" s="3">
        <f>IFERROR(__xludf.DUMMYFUNCTION("""COMPUTED_VALUE"""),792197.0)</f>
        <v>792197</v>
      </c>
    </row>
    <row r="622">
      <c r="A622" s="3">
        <f>IFERROR(__xludf.DUMMYFUNCTION("""COMPUTED_VALUE"""),1099231.0)</f>
        <v>1099231</v>
      </c>
    </row>
    <row r="623">
      <c r="A623" s="3">
        <f>IFERROR(__xludf.DUMMYFUNCTION("""COMPUTED_VALUE"""),1454222.0)</f>
        <v>1454222</v>
      </c>
    </row>
    <row r="624">
      <c r="A624" s="3">
        <f>IFERROR(__xludf.DUMMYFUNCTION("""COMPUTED_VALUE"""),39345.0)</f>
        <v>39345</v>
      </c>
    </row>
    <row r="625">
      <c r="A625" s="3">
        <f>IFERROR(__xludf.DUMMYFUNCTION("""COMPUTED_VALUE"""),347314.0)</f>
        <v>347314</v>
      </c>
    </row>
    <row r="626">
      <c r="A626" s="3">
        <f>IFERROR(__xludf.DUMMYFUNCTION("""COMPUTED_VALUE"""),1143861.0)</f>
        <v>1143861</v>
      </c>
    </row>
    <row r="627">
      <c r="A627" s="3">
        <f>IFERROR(__xludf.DUMMYFUNCTION("""COMPUTED_VALUE"""),61068.0)</f>
        <v>61068</v>
      </c>
    </row>
    <row r="628">
      <c r="A628" s="3">
        <f>IFERROR(__xludf.DUMMYFUNCTION("""COMPUTED_VALUE"""),100325.0)</f>
        <v>100325</v>
      </c>
    </row>
    <row r="629">
      <c r="A629" s="3">
        <f>IFERROR(__xludf.DUMMYFUNCTION("""COMPUTED_VALUE"""),3097936.0)</f>
        <v>3097936</v>
      </c>
    </row>
    <row r="630">
      <c r="A630" s="3">
        <f>IFERROR(__xludf.DUMMYFUNCTION("""COMPUTED_VALUE"""),76161.0)</f>
        <v>76161</v>
      </c>
    </row>
    <row r="631">
      <c r="A631" s="3">
        <f>IFERROR(__xludf.DUMMYFUNCTION("""COMPUTED_VALUE"""),42821.0)</f>
        <v>42821</v>
      </c>
    </row>
    <row r="632">
      <c r="A632" s="3">
        <f>IFERROR(__xludf.DUMMYFUNCTION("""COMPUTED_VALUE"""),374688.0)</f>
        <v>374688</v>
      </c>
    </row>
    <row r="633">
      <c r="A633" s="3">
        <f>IFERROR(__xludf.DUMMYFUNCTION("""COMPUTED_VALUE"""),1008616.0)</f>
        <v>1008616</v>
      </c>
    </row>
    <row r="634">
      <c r="A634" s="3">
        <f>IFERROR(__xludf.DUMMYFUNCTION("""COMPUTED_VALUE"""),101227.0)</f>
        <v>101227</v>
      </c>
    </row>
    <row r="635">
      <c r="A635" s="3">
        <f>IFERROR(__xludf.DUMMYFUNCTION("""COMPUTED_VALUE"""),67517.0)</f>
        <v>67517</v>
      </c>
    </row>
    <row r="636">
      <c r="A636" s="3">
        <f>IFERROR(__xludf.DUMMYFUNCTION("""COMPUTED_VALUE"""),3411087.0)</f>
        <v>3411087</v>
      </c>
    </row>
    <row r="637">
      <c r="A637" s="3">
        <f>IFERROR(__xludf.DUMMYFUNCTION("""COMPUTED_VALUE"""),1032645.0)</f>
        <v>1032645</v>
      </c>
    </row>
    <row r="638">
      <c r="A638" s="3">
        <f>IFERROR(__xludf.DUMMYFUNCTION("""COMPUTED_VALUE"""),2005493.0)</f>
        <v>2005493</v>
      </c>
    </row>
    <row r="639">
      <c r="A639" s="3">
        <f>IFERROR(__xludf.DUMMYFUNCTION("""COMPUTED_VALUE"""),535268.0)</f>
        <v>535268</v>
      </c>
    </row>
    <row r="640">
      <c r="A640" s="3">
        <f>IFERROR(__xludf.DUMMYFUNCTION("""COMPUTED_VALUE"""),502448.0)</f>
        <v>502448</v>
      </c>
    </row>
    <row r="641">
      <c r="A641" s="3">
        <f>IFERROR(__xludf.DUMMYFUNCTION("""COMPUTED_VALUE"""),36117.0)</f>
        <v>36117</v>
      </c>
    </row>
    <row r="642">
      <c r="A642" s="3">
        <f>IFERROR(__xludf.DUMMYFUNCTION("""COMPUTED_VALUE"""),472514.0)</f>
        <v>472514</v>
      </c>
    </row>
    <row r="643">
      <c r="A643" s="3">
        <f>IFERROR(__xludf.DUMMYFUNCTION("""COMPUTED_VALUE"""),354237.0)</f>
        <v>354237</v>
      </c>
    </row>
    <row r="644">
      <c r="A644" s="3">
        <f>IFERROR(__xludf.DUMMYFUNCTION("""COMPUTED_VALUE"""),4498962.0)</f>
        <v>4498962</v>
      </c>
    </row>
    <row r="645">
      <c r="A645" s="3">
        <f>IFERROR(__xludf.DUMMYFUNCTION("""COMPUTED_VALUE"""),340.0)</f>
        <v>340</v>
      </c>
    </row>
    <row r="646">
      <c r="A646" s="3">
        <f>IFERROR(__xludf.DUMMYFUNCTION("""COMPUTED_VALUE"""),1088834.0)</f>
        <v>1088834</v>
      </c>
    </row>
    <row r="647">
      <c r="A647" s="3">
        <f>IFERROR(__xludf.DUMMYFUNCTION("""COMPUTED_VALUE"""),409290.0)</f>
        <v>409290</v>
      </c>
    </row>
    <row r="648">
      <c r="A648" s="3">
        <f>IFERROR(__xludf.DUMMYFUNCTION("""COMPUTED_VALUE"""),613519.0)</f>
        <v>613519</v>
      </c>
    </row>
    <row r="649">
      <c r="A649" s="3">
        <f>IFERROR(__xludf.DUMMYFUNCTION("""COMPUTED_VALUE"""),717331.0)</f>
        <v>717331</v>
      </c>
    </row>
    <row r="650">
      <c r="A650" s="3">
        <f>IFERROR(__xludf.DUMMYFUNCTION("""COMPUTED_VALUE"""),1163186.0)</f>
        <v>1163186</v>
      </c>
    </row>
    <row r="651">
      <c r="A651" s="3">
        <f>IFERROR(__xludf.DUMMYFUNCTION("""COMPUTED_VALUE"""),1036536.0)</f>
        <v>1036536</v>
      </c>
    </row>
    <row r="652">
      <c r="A652" s="3">
        <f>IFERROR(__xludf.DUMMYFUNCTION("""COMPUTED_VALUE"""),742883.0)</f>
        <v>742883</v>
      </c>
    </row>
    <row r="653">
      <c r="A653" s="3">
        <f>IFERROR(__xludf.DUMMYFUNCTION("""COMPUTED_VALUE"""),1294039.0)</f>
        <v>1294039</v>
      </c>
    </row>
    <row r="654">
      <c r="A654" s="3">
        <f>IFERROR(__xludf.DUMMYFUNCTION("""COMPUTED_VALUE"""),1154579.0)</f>
        <v>1154579</v>
      </c>
    </row>
    <row r="655">
      <c r="A655" s="3">
        <f>IFERROR(__xludf.DUMMYFUNCTION("""COMPUTED_VALUE"""),765632.0)</f>
        <v>765632</v>
      </c>
    </row>
    <row r="656">
      <c r="A656" s="3">
        <f>IFERROR(__xludf.DUMMYFUNCTION("""COMPUTED_VALUE"""),150.0)</f>
        <v>150</v>
      </c>
    </row>
    <row r="657">
      <c r="A657" s="3">
        <f>IFERROR(__xludf.DUMMYFUNCTION("""COMPUTED_VALUE"""),956307.0)</f>
        <v>956307</v>
      </c>
    </row>
    <row r="658">
      <c r="A658" s="3">
        <f>IFERROR(__xludf.DUMMYFUNCTION("""COMPUTED_VALUE"""),816946.0)</f>
        <v>816946</v>
      </c>
    </row>
    <row r="659">
      <c r="A659" s="3">
        <f>IFERROR(__xludf.DUMMYFUNCTION("""COMPUTED_VALUE"""),1146043.0)</f>
        <v>1146043</v>
      </c>
    </row>
    <row r="660">
      <c r="A660" s="3">
        <f>IFERROR(__xludf.DUMMYFUNCTION("""COMPUTED_VALUE"""),1114163.0)</f>
        <v>1114163</v>
      </c>
    </row>
    <row r="661">
      <c r="A661" s="3">
        <f>IFERROR(__xludf.DUMMYFUNCTION("""COMPUTED_VALUE"""),1134768.0)</f>
        <v>1134768</v>
      </c>
    </row>
    <row r="662">
      <c r="A662" s="3">
        <f>IFERROR(__xludf.DUMMYFUNCTION("""COMPUTED_VALUE"""),878252.0)</f>
        <v>878252</v>
      </c>
    </row>
    <row r="663">
      <c r="A663" s="3">
        <f>IFERROR(__xludf.DUMMYFUNCTION("""COMPUTED_VALUE"""),898351.0)</f>
        <v>898351</v>
      </c>
    </row>
    <row r="664">
      <c r="A664" s="3">
        <f>IFERROR(__xludf.DUMMYFUNCTION("""COMPUTED_VALUE"""),814017.0)</f>
        <v>814017</v>
      </c>
    </row>
    <row r="665">
      <c r="A665" s="3">
        <f>IFERROR(__xludf.DUMMYFUNCTION("""COMPUTED_VALUE"""),940423.0)</f>
        <v>940423</v>
      </c>
    </row>
    <row r="666">
      <c r="A666" s="3">
        <f>IFERROR(__xludf.DUMMYFUNCTION("""COMPUTED_VALUE"""),1121845.0)</f>
        <v>1121845</v>
      </c>
    </row>
    <row r="667">
      <c r="A667" s="3">
        <f>IFERROR(__xludf.DUMMYFUNCTION("""COMPUTED_VALUE"""),1215906.0)</f>
        <v>1215906</v>
      </c>
    </row>
    <row r="668">
      <c r="A668" s="3">
        <f>IFERROR(__xludf.DUMMYFUNCTION("""COMPUTED_VALUE"""),1055811.0)</f>
        <v>1055811</v>
      </c>
    </row>
    <row r="669">
      <c r="A669" s="3">
        <f>IFERROR(__xludf.DUMMYFUNCTION("""COMPUTED_VALUE"""),1622612.0)</f>
        <v>1622612</v>
      </c>
    </row>
    <row r="670">
      <c r="A670" s="3">
        <f>IFERROR(__xludf.DUMMYFUNCTION("""COMPUTED_VALUE"""),42249.0)</f>
        <v>42249</v>
      </c>
    </row>
    <row r="671">
      <c r="A671" s="3">
        <f>IFERROR(__xludf.DUMMYFUNCTION("""COMPUTED_VALUE"""),718534.0)</f>
        <v>718534</v>
      </c>
    </row>
    <row r="672">
      <c r="A672" s="3">
        <f>IFERROR(__xludf.DUMMYFUNCTION("""COMPUTED_VALUE"""),423422.0)</f>
        <v>423422</v>
      </c>
    </row>
    <row r="673">
      <c r="A673" s="3">
        <f>IFERROR(__xludf.DUMMYFUNCTION("""COMPUTED_VALUE"""),1733746.0)</f>
        <v>1733746</v>
      </c>
    </row>
    <row r="674">
      <c r="A674" s="3">
        <f>IFERROR(__xludf.DUMMYFUNCTION("""COMPUTED_VALUE"""),1655120.0)</f>
        <v>1655120</v>
      </c>
    </row>
    <row r="675">
      <c r="A675" s="3">
        <f>IFERROR(__xludf.DUMMYFUNCTION("""COMPUTED_VALUE"""),1421672.0)</f>
        <v>1421672</v>
      </c>
    </row>
    <row r="676">
      <c r="A676" s="3">
        <f>IFERROR(__xludf.DUMMYFUNCTION("""COMPUTED_VALUE"""),934857.0)</f>
        <v>934857</v>
      </c>
    </row>
    <row r="677">
      <c r="A677" s="3">
        <f>IFERROR(__xludf.DUMMYFUNCTION("""COMPUTED_VALUE"""),56.0)</f>
        <v>56</v>
      </c>
    </row>
    <row r="678">
      <c r="A678" s="3">
        <f>IFERROR(__xludf.DUMMYFUNCTION("""COMPUTED_VALUE"""),411680.0)</f>
        <v>411680</v>
      </c>
    </row>
    <row r="679">
      <c r="A679" s="3">
        <f>IFERROR(__xludf.DUMMYFUNCTION("""COMPUTED_VALUE"""),61248.0)</f>
        <v>61248</v>
      </c>
    </row>
    <row r="680">
      <c r="A680" s="3">
        <f>IFERROR(__xludf.DUMMYFUNCTION("""COMPUTED_VALUE"""),51920.0)</f>
        <v>51920</v>
      </c>
    </row>
    <row r="681">
      <c r="A681" s="3">
        <f>IFERROR(__xludf.DUMMYFUNCTION("""COMPUTED_VALUE"""),232796.0)</f>
        <v>232796</v>
      </c>
    </row>
    <row r="682">
      <c r="A682" s="3">
        <f>IFERROR(__xludf.DUMMYFUNCTION("""COMPUTED_VALUE"""),1001630.0)</f>
        <v>1001630</v>
      </c>
    </row>
    <row r="683">
      <c r="A683" s="3">
        <f>IFERROR(__xludf.DUMMYFUNCTION("""COMPUTED_VALUE"""),1577759.0)</f>
        <v>1577759</v>
      </c>
    </row>
    <row r="684">
      <c r="A684" s="3">
        <f>IFERROR(__xludf.DUMMYFUNCTION("""COMPUTED_VALUE"""),52491.0)</f>
        <v>52491</v>
      </c>
    </row>
    <row r="685">
      <c r="A685" s="3">
        <f>IFERROR(__xludf.DUMMYFUNCTION("""COMPUTED_VALUE"""),5216933.0)</f>
        <v>5216933</v>
      </c>
    </row>
    <row r="686">
      <c r="A686" s="3">
        <f>IFERROR(__xludf.DUMMYFUNCTION("""COMPUTED_VALUE"""),1463658.0)</f>
        <v>1463658</v>
      </c>
    </row>
    <row r="687">
      <c r="A687" s="3">
        <f>IFERROR(__xludf.DUMMYFUNCTION("""COMPUTED_VALUE"""),1772001.0)</f>
        <v>1772001</v>
      </c>
    </row>
    <row r="688">
      <c r="A688" s="3">
        <f>IFERROR(__xludf.DUMMYFUNCTION("""COMPUTED_VALUE"""),834387.0)</f>
        <v>834387</v>
      </c>
    </row>
    <row r="689">
      <c r="A689" s="3">
        <f>IFERROR(__xludf.DUMMYFUNCTION("""COMPUTED_VALUE"""),828221.0)</f>
        <v>828221</v>
      </c>
    </row>
    <row r="690">
      <c r="A690" s="3">
        <f>IFERROR(__xludf.DUMMYFUNCTION("""COMPUTED_VALUE"""),100275.0)</f>
        <v>100275</v>
      </c>
    </row>
    <row r="691">
      <c r="A691" s="3">
        <f>IFERROR(__xludf.DUMMYFUNCTION("""COMPUTED_VALUE"""),932104.0)</f>
        <v>932104</v>
      </c>
    </row>
    <row r="692">
      <c r="A692" s="3">
        <f>IFERROR(__xludf.DUMMYFUNCTION("""COMPUTED_VALUE"""),983550.0)</f>
        <v>983550</v>
      </c>
    </row>
    <row r="693">
      <c r="A693" s="3">
        <f>IFERROR(__xludf.DUMMYFUNCTION("""COMPUTED_VALUE"""),25446.0)</f>
        <v>25446</v>
      </c>
    </row>
    <row r="694">
      <c r="A694" s="3">
        <f>IFERROR(__xludf.DUMMYFUNCTION("""COMPUTED_VALUE"""),602.0)</f>
        <v>602</v>
      </c>
    </row>
    <row r="695">
      <c r="A695" s="3">
        <f>IFERROR(__xludf.DUMMYFUNCTION("""COMPUTED_VALUE"""),53475.0)</f>
        <v>53475</v>
      </c>
    </row>
    <row r="696">
      <c r="A696" s="3">
        <f>IFERROR(__xludf.DUMMYFUNCTION("""COMPUTED_VALUE"""),1161602.0)</f>
        <v>1161602</v>
      </c>
    </row>
    <row r="697">
      <c r="A697" s="3">
        <f>IFERROR(__xludf.DUMMYFUNCTION("""COMPUTED_VALUE"""),63058.0)</f>
        <v>63058</v>
      </c>
    </row>
    <row r="698">
      <c r="A698" s="3">
        <f>IFERROR(__xludf.DUMMYFUNCTION("""COMPUTED_VALUE"""),46977.0)</f>
        <v>46977</v>
      </c>
    </row>
    <row r="699">
      <c r="A699" s="3">
        <f>IFERROR(__xludf.DUMMYFUNCTION("""COMPUTED_VALUE"""),283914.0)</f>
        <v>283914</v>
      </c>
    </row>
    <row r="700">
      <c r="A700" s="3">
        <f>IFERROR(__xludf.DUMMYFUNCTION("""COMPUTED_VALUE"""),731758.0)</f>
        <v>731758</v>
      </c>
    </row>
    <row r="701">
      <c r="A701" s="3">
        <f>IFERROR(__xludf.DUMMYFUNCTION("""COMPUTED_VALUE"""),1687208.0)</f>
        <v>1687208</v>
      </c>
    </row>
    <row r="702">
      <c r="A702" s="3">
        <f>IFERROR(__xludf.DUMMYFUNCTION("""COMPUTED_VALUE"""),713466.0)</f>
        <v>713466</v>
      </c>
    </row>
    <row r="703">
      <c r="A703" s="3">
        <f>IFERROR(__xludf.DUMMYFUNCTION("""COMPUTED_VALUE"""),56250.0)</f>
        <v>56250</v>
      </c>
    </row>
    <row r="704">
      <c r="A704" s="3">
        <f>IFERROR(__xludf.DUMMYFUNCTION("""COMPUTED_VALUE"""),499961.0)</f>
        <v>499961</v>
      </c>
    </row>
    <row r="705">
      <c r="A705" s="3">
        <f>IFERROR(__xludf.DUMMYFUNCTION("""COMPUTED_VALUE"""),895000.0)</f>
        <v>895000</v>
      </c>
    </row>
    <row r="706">
      <c r="A706" s="3">
        <f>IFERROR(__xludf.DUMMYFUNCTION("""COMPUTED_VALUE"""),253851.0)</f>
        <v>253851</v>
      </c>
    </row>
    <row r="707">
      <c r="A707" s="3">
        <f>IFERROR(__xludf.DUMMYFUNCTION("""COMPUTED_VALUE"""),637645.0)</f>
        <v>637645</v>
      </c>
    </row>
    <row r="708">
      <c r="A708" s="3">
        <f>IFERROR(__xludf.DUMMYFUNCTION("""COMPUTED_VALUE"""),1954650.0)</f>
        <v>1954650</v>
      </c>
    </row>
    <row r="709">
      <c r="A709" s="3">
        <f>IFERROR(__xludf.DUMMYFUNCTION("""COMPUTED_VALUE"""),669083.0)</f>
        <v>669083</v>
      </c>
    </row>
    <row r="710">
      <c r="A710" s="3">
        <f>IFERROR(__xludf.DUMMYFUNCTION("""COMPUTED_VALUE"""),1833778.0)</f>
        <v>1833778</v>
      </c>
    </row>
    <row r="711">
      <c r="A711" s="3">
        <f>IFERROR(__xludf.DUMMYFUNCTION("""COMPUTED_VALUE"""),703427.0)</f>
        <v>703427</v>
      </c>
    </row>
    <row r="712">
      <c r="A712" s="3">
        <f>IFERROR(__xludf.DUMMYFUNCTION("""COMPUTED_VALUE"""),115884.0)</f>
        <v>115884</v>
      </c>
    </row>
    <row r="713">
      <c r="A713" s="3">
        <f>IFERROR(__xludf.DUMMYFUNCTION("""COMPUTED_VALUE"""),1.0)</f>
        <v>1</v>
      </c>
    </row>
    <row r="714">
      <c r="A714" s="3">
        <f>IFERROR(__xludf.DUMMYFUNCTION("""COMPUTED_VALUE"""),289045.0)</f>
        <v>289045</v>
      </c>
    </row>
    <row r="715">
      <c r="A715" s="3">
        <f>IFERROR(__xludf.DUMMYFUNCTION("""COMPUTED_VALUE"""),7571032.0)</f>
        <v>7571032</v>
      </c>
    </row>
    <row r="716">
      <c r="A716" s="3">
        <f>IFERROR(__xludf.DUMMYFUNCTION("""COMPUTED_VALUE"""),2141.0)</f>
        <v>2141</v>
      </c>
    </row>
    <row r="717">
      <c r="A717" s="3">
        <f>IFERROR(__xludf.DUMMYFUNCTION("""COMPUTED_VALUE"""),4444315.0)</f>
        <v>4444315</v>
      </c>
    </row>
    <row r="718">
      <c r="A718" s="3">
        <f>IFERROR(__xludf.DUMMYFUNCTION("""COMPUTED_VALUE"""),1.0)</f>
        <v>1</v>
      </c>
    </row>
    <row r="719">
      <c r="A719" s="3">
        <f>IFERROR(__xludf.DUMMYFUNCTION("""COMPUTED_VALUE"""),205049.0)</f>
        <v>205049</v>
      </c>
    </row>
    <row r="720">
      <c r="A720" s="3">
        <f>IFERROR(__xludf.DUMMYFUNCTION("""COMPUTED_VALUE"""),905000.0)</f>
        <v>905000</v>
      </c>
    </row>
    <row r="721">
      <c r="A721" s="3">
        <f>IFERROR(__xludf.DUMMYFUNCTION("""COMPUTED_VALUE"""),23.0)</f>
        <v>23</v>
      </c>
    </row>
    <row r="722">
      <c r="A722" s="3">
        <f>IFERROR(__xludf.DUMMYFUNCTION("""COMPUTED_VALUE"""),870000.0)</f>
        <v>870000</v>
      </c>
    </row>
    <row r="723">
      <c r="A723" s="3">
        <f>IFERROR(__xludf.DUMMYFUNCTION("""COMPUTED_VALUE"""),64232.0)</f>
        <v>64232</v>
      </c>
    </row>
    <row r="724">
      <c r="A724" s="3">
        <f>IFERROR(__xludf.DUMMYFUNCTION("""COMPUTED_VALUE"""),1250000.0)</f>
        <v>1250000</v>
      </c>
    </row>
    <row r="725">
      <c r="A725" s="3">
        <f>IFERROR(__xludf.DUMMYFUNCTION("""COMPUTED_VALUE"""),1176710.0)</f>
        <v>1176710</v>
      </c>
    </row>
    <row r="726">
      <c r="A726" s="3">
        <f>IFERROR(__xludf.DUMMYFUNCTION("""COMPUTED_VALUE"""),2569287.0)</f>
        <v>2569287</v>
      </c>
    </row>
    <row r="727">
      <c r="A727" s="3">
        <f>IFERROR(__xludf.DUMMYFUNCTION("""COMPUTED_VALUE"""),1404565.0)</f>
        <v>1404565</v>
      </c>
    </row>
    <row r="728">
      <c r="A728" s="3">
        <f>IFERROR(__xludf.DUMMYFUNCTION("""COMPUTED_VALUE"""),787318.0)</f>
        <v>787318</v>
      </c>
    </row>
    <row r="729">
      <c r="A729" s="3">
        <f>IFERROR(__xludf.DUMMYFUNCTION("""COMPUTED_VALUE"""),713136.0)</f>
        <v>713136</v>
      </c>
    </row>
    <row r="730">
      <c r="A730" s="3">
        <f>IFERROR(__xludf.DUMMYFUNCTION("""COMPUTED_VALUE"""),467428.0)</f>
        <v>467428</v>
      </c>
    </row>
    <row r="731">
      <c r="A731" s="3">
        <f>IFERROR(__xludf.DUMMYFUNCTION("""COMPUTED_VALUE"""),983196.0)</f>
        <v>983196</v>
      </c>
    </row>
    <row r="732">
      <c r="A732" s="3">
        <f>IFERROR(__xludf.DUMMYFUNCTION("""COMPUTED_VALUE"""),1507820.0)</f>
        <v>1507820</v>
      </c>
    </row>
    <row r="733">
      <c r="A733" s="3">
        <f>IFERROR(__xludf.DUMMYFUNCTION("""COMPUTED_VALUE"""),17.0)</f>
        <v>17</v>
      </c>
    </row>
    <row r="734">
      <c r="A734" s="3">
        <f>IFERROR(__xludf.DUMMYFUNCTION("""COMPUTED_VALUE"""),5398754.0)</f>
        <v>5398754</v>
      </c>
    </row>
    <row r="735">
      <c r="A735" s="3">
        <f>IFERROR(__xludf.DUMMYFUNCTION("""COMPUTED_VALUE"""),2411749.0)</f>
        <v>2411749</v>
      </c>
    </row>
    <row r="736">
      <c r="A736" s="3">
        <f>IFERROR(__xludf.DUMMYFUNCTION("""COMPUTED_VALUE"""),2550000.0)</f>
        <v>2550000</v>
      </c>
    </row>
    <row r="737">
      <c r="A737" s="3">
        <f>IFERROR(__xludf.DUMMYFUNCTION("""COMPUTED_VALUE"""),449896.0)</f>
        <v>449896</v>
      </c>
    </row>
    <row r="738">
      <c r="A738" s="3">
        <f>IFERROR(__xludf.DUMMYFUNCTION("""COMPUTED_VALUE"""),2249481.0)</f>
        <v>2249481</v>
      </c>
    </row>
    <row r="739">
      <c r="A739" s="3">
        <f>IFERROR(__xludf.DUMMYFUNCTION("""COMPUTED_VALUE"""),1649524.0)</f>
        <v>1649524</v>
      </c>
    </row>
    <row r="740">
      <c r="A740" s="3">
        <f>IFERROR(__xludf.DUMMYFUNCTION("""COMPUTED_VALUE"""),27235.0)</f>
        <v>27235</v>
      </c>
    </row>
    <row r="741">
      <c r="A741" s="3">
        <f>IFERROR(__xludf.DUMMYFUNCTION("""COMPUTED_VALUE"""),755000.0)</f>
        <v>755000</v>
      </c>
    </row>
    <row r="742">
      <c r="A742" s="3">
        <f>IFERROR(__xludf.DUMMYFUNCTION("""COMPUTED_VALUE"""),1070000.0)</f>
        <v>1070000</v>
      </c>
    </row>
    <row r="743">
      <c r="A743" s="3">
        <f>IFERROR(__xludf.DUMMYFUNCTION("""COMPUTED_VALUE"""),67404.0)</f>
        <v>67404</v>
      </c>
    </row>
    <row r="744">
      <c r="A744" s="3">
        <f>IFERROR(__xludf.DUMMYFUNCTION("""COMPUTED_VALUE"""),542139.0)</f>
        <v>542139</v>
      </c>
    </row>
    <row r="745">
      <c r="A745" s="3">
        <f>IFERROR(__xludf.DUMMYFUNCTION("""COMPUTED_VALUE"""),934857.0)</f>
        <v>934857</v>
      </c>
    </row>
    <row r="746">
      <c r="A746" s="3">
        <f>IFERROR(__xludf.DUMMYFUNCTION("""COMPUTED_VALUE"""),1104109.0)</f>
        <v>1104109</v>
      </c>
    </row>
    <row r="747">
      <c r="A747" s="3">
        <f>IFERROR(__xludf.DUMMYFUNCTION("""COMPUTED_VALUE"""),5184922.0)</f>
        <v>5184922</v>
      </c>
    </row>
    <row r="748">
      <c r="A748" s="3">
        <f>IFERROR(__xludf.DUMMYFUNCTION("""COMPUTED_VALUE"""),19177.0)</f>
        <v>19177</v>
      </c>
    </row>
    <row r="749">
      <c r="A749" s="3">
        <f>IFERROR(__xludf.DUMMYFUNCTION("""COMPUTED_VALUE"""),30534.0)</f>
        <v>30534</v>
      </c>
    </row>
    <row r="750">
      <c r="A750" s="3">
        <f>IFERROR(__xludf.DUMMYFUNCTION("""COMPUTED_VALUE"""),2248126.0)</f>
        <v>2248126</v>
      </c>
    </row>
    <row r="751">
      <c r="A751" s="3">
        <f>IFERROR(__xludf.DUMMYFUNCTION("""COMPUTED_VALUE"""),1312312.0)</f>
        <v>1312312</v>
      </c>
    </row>
    <row r="752">
      <c r="A752" s="3">
        <f>IFERROR(__xludf.DUMMYFUNCTION("""COMPUTED_VALUE"""),498618.0)</f>
        <v>498618</v>
      </c>
    </row>
    <row r="753">
      <c r="A753" s="3">
        <f>IFERROR(__xludf.DUMMYFUNCTION("""COMPUTED_VALUE"""),12000.0)</f>
        <v>12000</v>
      </c>
    </row>
    <row r="754">
      <c r="A754" s="3">
        <f>IFERROR(__xludf.DUMMYFUNCTION("""COMPUTED_VALUE"""),668980.0)</f>
        <v>668980</v>
      </c>
    </row>
    <row r="755">
      <c r="A755" s="3">
        <f>IFERROR(__xludf.DUMMYFUNCTION("""COMPUTED_VALUE"""),11036.0)</f>
        <v>11036</v>
      </c>
    </row>
    <row r="756">
      <c r="A756" s="3">
        <f>IFERROR(__xludf.DUMMYFUNCTION("""COMPUTED_VALUE"""),1267472.0)</f>
        <v>1267472</v>
      </c>
    </row>
    <row r="757">
      <c r="A757" s="3">
        <f>IFERROR(__xludf.DUMMYFUNCTION("""COMPUTED_VALUE"""),461.0)</f>
        <v>461</v>
      </c>
    </row>
    <row r="758">
      <c r="A758" s="3">
        <f>IFERROR(__xludf.DUMMYFUNCTION("""COMPUTED_VALUE"""),517.0)</f>
        <v>517</v>
      </c>
    </row>
    <row r="759">
      <c r="A759" s="3">
        <f>IFERROR(__xludf.DUMMYFUNCTION("""COMPUTED_VALUE"""),38000.0)</f>
        <v>38000</v>
      </c>
    </row>
    <row r="760">
      <c r="A760" s="3">
        <f>IFERROR(__xludf.DUMMYFUNCTION("""COMPUTED_VALUE"""),1541229.0)</f>
        <v>1541229</v>
      </c>
    </row>
    <row r="761">
      <c r="A761" s="3">
        <f>IFERROR(__xludf.DUMMYFUNCTION("""COMPUTED_VALUE"""),725889.0)</f>
        <v>725889</v>
      </c>
    </row>
    <row r="762">
      <c r="A762" s="3">
        <f>IFERROR(__xludf.DUMMYFUNCTION("""COMPUTED_VALUE"""),3211608.0)</f>
        <v>3211608</v>
      </c>
    </row>
    <row r="763">
      <c r="A763" s="3">
        <f>IFERROR(__xludf.DUMMYFUNCTION("""COMPUTED_VALUE"""),513743.0)</f>
        <v>513743</v>
      </c>
    </row>
    <row r="764">
      <c r="A764" s="3">
        <f>IFERROR(__xludf.DUMMYFUNCTION("""COMPUTED_VALUE"""),80495.0)</f>
        <v>80495</v>
      </c>
    </row>
    <row r="765">
      <c r="A765" s="3">
        <f>IFERROR(__xludf.DUMMYFUNCTION("""COMPUTED_VALUE"""),541685.0)</f>
        <v>541685</v>
      </c>
    </row>
    <row r="766">
      <c r="A766" s="3">
        <f>IFERROR(__xludf.DUMMYFUNCTION("""COMPUTED_VALUE"""),566.0)</f>
        <v>566</v>
      </c>
    </row>
    <row r="767">
      <c r="A767" s="3">
        <f>IFERROR(__xludf.DUMMYFUNCTION("""COMPUTED_VALUE"""),68088.0)</f>
        <v>68088</v>
      </c>
    </row>
    <row r="768">
      <c r="A768" s="3">
        <f>IFERROR(__xludf.DUMMYFUNCTION("""COMPUTED_VALUE"""),307.0)</f>
        <v>307</v>
      </c>
    </row>
    <row r="769">
      <c r="A769" s="3">
        <f>IFERROR(__xludf.DUMMYFUNCTION("""COMPUTED_VALUE"""),10387.0)</f>
        <v>10387</v>
      </c>
    </row>
    <row r="770">
      <c r="A770" s="3">
        <f>IFERROR(__xludf.DUMMYFUNCTION("""COMPUTED_VALUE"""),23.0)</f>
        <v>23</v>
      </c>
    </row>
    <row r="771">
      <c r="A771" s="3">
        <f>IFERROR(__xludf.DUMMYFUNCTION("""COMPUTED_VALUE"""),144479.0)</f>
        <v>144479</v>
      </c>
    </row>
    <row r="772">
      <c r="A772" s="3">
        <f>IFERROR(__xludf.DUMMYFUNCTION("""COMPUTED_VALUE"""),247678.0)</f>
        <v>247678</v>
      </c>
    </row>
    <row r="773">
      <c r="A773" s="3">
        <f>IFERROR(__xludf.DUMMYFUNCTION("""COMPUTED_VALUE"""),5016304.0)</f>
        <v>5016304</v>
      </c>
    </row>
    <row r="774">
      <c r="A774" s="3">
        <f>IFERROR(__xludf.DUMMYFUNCTION("""COMPUTED_VALUE"""),19505.0)</f>
        <v>19505</v>
      </c>
    </row>
    <row r="775">
      <c r="A775" s="3">
        <f>IFERROR(__xludf.DUMMYFUNCTION("""COMPUTED_VALUE"""),73.0)</f>
        <v>73</v>
      </c>
    </row>
    <row r="776">
      <c r="A776" s="3">
        <f>IFERROR(__xludf.DUMMYFUNCTION("""COMPUTED_VALUE"""),3008206.0)</f>
        <v>3008206</v>
      </c>
    </row>
    <row r="777">
      <c r="A777" s="3">
        <f>IFERROR(__xludf.DUMMYFUNCTION("""COMPUTED_VALUE"""),148.0)</f>
        <v>148</v>
      </c>
    </row>
    <row r="778">
      <c r="A778" s="3">
        <f>IFERROR(__xludf.DUMMYFUNCTION("""COMPUTED_VALUE"""),10770.0)</f>
        <v>10770</v>
      </c>
    </row>
    <row r="779">
      <c r="A779" s="3">
        <f>IFERROR(__xludf.DUMMYFUNCTION("""COMPUTED_VALUE"""),412713.0)</f>
        <v>412713</v>
      </c>
    </row>
    <row r="780">
      <c r="A780" s="3">
        <f>IFERROR(__xludf.DUMMYFUNCTION("""COMPUTED_VALUE"""),46.0)</f>
        <v>46</v>
      </c>
    </row>
    <row r="781">
      <c r="A781" s="3">
        <f>IFERROR(__xludf.DUMMYFUNCTION("""COMPUTED_VALUE"""),849156.0)</f>
        <v>849156</v>
      </c>
    </row>
    <row r="782">
      <c r="A782" s="3">
        <f>IFERROR(__xludf.DUMMYFUNCTION("""COMPUTED_VALUE"""),641549.0)</f>
        <v>641549</v>
      </c>
    </row>
    <row r="783">
      <c r="A783" s="3">
        <f>IFERROR(__xludf.DUMMYFUNCTION("""COMPUTED_VALUE"""),25925.0)</f>
        <v>25925</v>
      </c>
    </row>
    <row r="784">
      <c r="A784" s="3">
        <f>IFERROR(__xludf.DUMMYFUNCTION("""COMPUTED_VALUE"""),1567329.0)</f>
        <v>1567329</v>
      </c>
    </row>
    <row r="785">
      <c r="A785" s="3">
        <f>IFERROR(__xludf.DUMMYFUNCTION("""COMPUTED_VALUE"""),681546.0)</f>
        <v>681546</v>
      </c>
    </row>
    <row r="786">
      <c r="A786" s="3">
        <f>IFERROR(__xludf.DUMMYFUNCTION("""COMPUTED_VALUE"""),877015.0)</f>
        <v>877015</v>
      </c>
    </row>
    <row r="787">
      <c r="A787" s="3">
        <f>IFERROR(__xludf.DUMMYFUNCTION("""COMPUTED_VALUE"""),1722605.0)</f>
        <v>1722605</v>
      </c>
    </row>
    <row r="788">
      <c r="A788" s="3">
        <f>IFERROR(__xludf.DUMMYFUNCTION("""COMPUTED_VALUE"""),888545.0)</f>
        <v>888545</v>
      </c>
    </row>
    <row r="789">
      <c r="A789" s="3">
        <f>IFERROR(__xludf.DUMMYFUNCTION("""COMPUTED_VALUE"""),33742.0)</f>
        <v>33742</v>
      </c>
    </row>
    <row r="790">
      <c r="A790" s="3">
        <f>IFERROR(__xludf.DUMMYFUNCTION("""COMPUTED_VALUE"""),595000.0)</f>
        <v>595000</v>
      </c>
    </row>
    <row r="791">
      <c r="A791" s="3">
        <f>IFERROR(__xludf.DUMMYFUNCTION("""COMPUTED_VALUE"""),610000.0)</f>
        <v>610000</v>
      </c>
    </row>
    <row r="792">
      <c r="A792" s="3">
        <f>IFERROR(__xludf.DUMMYFUNCTION("""COMPUTED_VALUE"""),4466071.0)</f>
        <v>4466071</v>
      </c>
    </row>
    <row r="793">
      <c r="A793" s="3">
        <f>IFERROR(__xludf.DUMMYFUNCTION("""COMPUTED_VALUE"""),107054.0)</f>
        <v>107054</v>
      </c>
    </row>
    <row r="794">
      <c r="A794" s="3">
        <f>IFERROR(__xludf.DUMMYFUNCTION("""COMPUTED_VALUE"""),396166.0)</f>
        <v>396166</v>
      </c>
    </row>
    <row r="795">
      <c r="A795" s="3">
        <f>IFERROR(__xludf.DUMMYFUNCTION("""COMPUTED_VALUE"""),80007.0)</f>
        <v>80007</v>
      </c>
    </row>
    <row r="796">
      <c r="A796" s="3">
        <f>IFERROR(__xludf.DUMMYFUNCTION("""COMPUTED_VALUE"""),120000.0)</f>
        <v>120000</v>
      </c>
    </row>
    <row r="797">
      <c r="A797" s="3">
        <f>IFERROR(__xludf.DUMMYFUNCTION("""COMPUTED_VALUE"""),61907.0)</f>
        <v>61907</v>
      </c>
    </row>
    <row r="798">
      <c r="A798" s="3">
        <f>IFERROR(__xludf.DUMMYFUNCTION("""COMPUTED_VALUE"""),506133.0)</f>
        <v>506133</v>
      </c>
    </row>
    <row r="799">
      <c r="A799" s="3">
        <f>IFERROR(__xludf.DUMMYFUNCTION("""COMPUTED_VALUE"""),841226.0)</f>
        <v>841226</v>
      </c>
    </row>
    <row r="800">
      <c r="A800" s="3">
        <f>IFERROR(__xludf.DUMMYFUNCTION("""COMPUTED_VALUE"""),517.0)</f>
        <v>517</v>
      </c>
    </row>
    <row r="801">
      <c r="A801" s="3">
        <f>IFERROR(__xludf.DUMMYFUNCTION("""COMPUTED_VALUE"""),553419.0)</f>
        <v>553419</v>
      </c>
    </row>
    <row r="802">
      <c r="A802" s="3">
        <f>IFERROR(__xludf.DUMMYFUNCTION("""COMPUTED_VALUE"""),8000.0)</f>
        <v>8000</v>
      </c>
    </row>
    <row r="803">
      <c r="A803" s="3">
        <f>IFERROR(__xludf.DUMMYFUNCTION("""COMPUTED_VALUE"""),652120.0)</f>
        <v>652120</v>
      </c>
    </row>
    <row r="804">
      <c r="A804" s="3">
        <f>IFERROR(__xludf.DUMMYFUNCTION("""COMPUTED_VALUE"""),637739.0)</f>
        <v>637739</v>
      </c>
    </row>
    <row r="805">
      <c r="A805" s="3">
        <f>IFERROR(__xludf.DUMMYFUNCTION("""COMPUTED_VALUE"""),361124.0)</f>
        <v>361124</v>
      </c>
    </row>
    <row r="806">
      <c r="A806" s="3">
        <f>IFERROR(__xludf.DUMMYFUNCTION("""COMPUTED_VALUE"""),31.0)</f>
        <v>31</v>
      </c>
    </row>
    <row r="807">
      <c r="A807" s="3">
        <f>IFERROR(__xludf.DUMMYFUNCTION("""COMPUTED_VALUE"""),606034.0)</f>
        <v>606034</v>
      </c>
    </row>
    <row r="808">
      <c r="A808" s="3">
        <f>IFERROR(__xludf.DUMMYFUNCTION("""COMPUTED_VALUE"""),2052566.0)</f>
        <v>2052566</v>
      </c>
    </row>
    <row r="809">
      <c r="A809" s="3">
        <f>IFERROR(__xludf.DUMMYFUNCTION("""COMPUTED_VALUE"""),23.0)</f>
        <v>23</v>
      </c>
    </row>
    <row r="810">
      <c r="A810" s="3">
        <f>IFERROR(__xludf.DUMMYFUNCTION("""COMPUTED_VALUE"""),948931.0)</f>
        <v>948931</v>
      </c>
    </row>
    <row r="811">
      <c r="A811" s="3">
        <f>IFERROR(__xludf.DUMMYFUNCTION("""COMPUTED_VALUE"""),690132.0)</f>
        <v>690132</v>
      </c>
    </row>
    <row r="812">
      <c r="A812" s="3">
        <f>IFERROR(__xludf.DUMMYFUNCTION("""COMPUTED_VALUE"""),31000.0)</f>
        <v>31000</v>
      </c>
    </row>
    <row r="813">
      <c r="A813" s="3">
        <f>IFERROR(__xludf.DUMMYFUNCTION("""COMPUTED_VALUE"""),369895.0)</f>
        <v>369895</v>
      </c>
    </row>
    <row r="814">
      <c r="A814" s="3">
        <f>IFERROR(__xludf.DUMMYFUNCTION("""COMPUTED_VALUE"""),671220.0)</f>
        <v>671220</v>
      </c>
    </row>
    <row r="815">
      <c r="A815" s="3">
        <f>IFERROR(__xludf.DUMMYFUNCTION("""COMPUTED_VALUE"""),250815.0)</f>
        <v>250815</v>
      </c>
    </row>
    <row r="816">
      <c r="A816" s="3">
        <f>IFERROR(__xludf.DUMMYFUNCTION("""COMPUTED_VALUE"""),540000.0)</f>
        <v>540000</v>
      </c>
    </row>
    <row r="817">
      <c r="A817" s="3">
        <f>IFERROR(__xludf.DUMMYFUNCTION("""COMPUTED_VALUE"""),1149375.0)</f>
        <v>1149375</v>
      </c>
    </row>
    <row r="818">
      <c r="A818" s="3">
        <f>IFERROR(__xludf.DUMMYFUNCTION("""COMPUTED_VALUE"""),1057005.0)</f>
        <v>1057005</v>
      </c>
    </row>
    <row r="819">
      <c r="A819" s="3">
        <f>IFERROR(__xludf.DUMMYFUNCTION("""COMPUTED_VALUE"""),2671464.0)</f>
        <v>2671464</v>
      </c>
    </row>
    <row r="820">
      <c r="A820" s="3">
        <f>IFERROR(__xludf.DUMMYFUNCTION("""COMPUTED_VALUE"""),1997263.0)</f>
        <v>1997263</v>
      </c>
    </row>
    <row r="821">
      <c r="A821" s="3">
        <f>IFERROR(__xludf.DUMMYFUNCTION("""COMPUTED_VALUE"""),16825.0)</f>
        <v>16825</v>
      </c>
    </row>
    <row r="822">
      <c r="A822" s="3">
        <f>IFERROR(__xludf.DUMMYFUNCTION("""COMPUTED_VALUE"""),30027.0)</f>
        <v>30027</v>
      </c>
    </row>
    <row r="823">
      <c r="A823" s="3">
        <f>IFERROR(__xludf.DUMMYFUNCTION("""COMPUTED_VALUE"""),28717.0)</f>
        <v>28717</v>
      </c>
    </row>
    <row r="824">
      <c r="A824" s="3">
        <f>IFERROR(__xludf.DUMMYFUNCTION("""COMPUTED_VALUE"""),30693.0)</f>
        <v>30693</v>
      </c>
    </row>
    <row r="825">
      <c r="A825" s="3">
        <f>IFERROR(__xludf.DUMMYFUNCTION("""COMPUTED_VALUE"""),35268.0)</f>
        <v>35268</v>
      </c>
    </row>
    <row r="826">
      <c r="A826" s="3">
        <f>IFERROR(__xludf.DUMMYFUNCTION("""COMPUTED_VALUE"""),17949.0)</f>
        <v>17949</v>
      </c>
    </row>
    <row r="827">
      <c r="A827" s="3">
        <f>IFERROR(__xludf.DUMMYFUNCTION("""COMPUTED_VALUE"""),2092324.0)</f>
        <v>2092324</v>
      </c>
    </row>
    <row r="828">
      <c r="A828" s="3">
        <f>IFERROR(__xludf.DUMMYFUNCTION("""COMPUTED_VALUE"""),2182516.0)</f>
        <v>2182516</v>
      </c>
    </row>
    <row r="829">
      <c r="A829" s="3">
        <f>IFERROR(__xludf.DUMMYFUNCTION("""COMPUTED_VALUE"""),2796928.0)</f>
        <v>2796928</v>
      </c>
    </row>
    <row r="830">
      <c r="A830" s="3">
        <f>IFERROR(__xludf.DUMMYFUNCTION("""COMPUTED_VALUE"""),1392244.0)</f>
        <v>1392244</v>
      </c>
    </row>
    <row r="831">
      <c r="A831" s="3">
        <f>IFERROR(__xludf.DUMMYFUNCTION("""COMPUTED_VALUE"""),1903930.0)</f>
        <v>1903930</v>
      </c>
    </row>
    <row r="832">
      <c r="A832" s="3">
        <f>IFERROR(__xludf.DUMMYFUNCTION("""COMPUTED_VALUE"""),1033817.0)</f>
        <v>1033817</v>
      </c>
    </row>
    <row r="833">
      <c r="A833" s="3">
        <f>IFERROR(__xludf.DUMMYFUNCTION("""COMPUTED_VALUE"""),2170283.0)</f>
        <v>2170283</v>
      </c>
    </row>
    <row r="834">
      <c r="A834" s="3">
        <f>IFERROR(__xludf.DUMMYFUNCTION("""COMPUTED_VALUE"""),1058135.0)</f>
        <v>1058135</v>
      </c>
    </row>
    <row r="835">
      <c r="A835" s="3">
        <f>IFERROR(__xludf.DUMMYFUNCTION("""COMPUTED_VALUE"""),1696245.0)</f>
        <v>1696245</v>
      </c>
    </row>
    <row r="836">
      <c r="A836" s="3">
        <f>IFERROR(__xludf.DUMMYFUNCTION("""COMPUTED_VALUE"""),708351.0)</f>
        <v>708351</v>
      </c>
    </row>
    <row r="837">
      <c r="A837" s="3">
        <f>IFERROR(__xludf.DUMMYFUNCTION("""COMPUTED_VALUE"""),14329.0)</f>
        <v>14329</v>
      </c>
    </row>
    <row r="838">
      <c r="A838" s="3">
        <f>IFERROR(__xludf.DUMMYFUNCTION("""COMPUTED_VALUE"""),1653998.0)</f>
        <v>1653998</v>
      </c>
    </row>
    <row r="839">
      <c r="A839" s="3">
        <f>IFERROR(__xludf.DUMMYFUNCTION("""COMPUTED_VALUE"""),1892322.0)</f>
        <v>1892322</v>
      </c>
    </row>
    <row r="840">
      <c r="A840" s="3">
        <f>IFERROR(__xludf.DUMMYFUNCTION("""COMPUTED_VALUE"""),4619021.0)</f>
        <v>4619021</v>
      </c>
    </row>
    <row r="841">
      <c r="A841" s="3">
        <f>IFERROR(__xludf.DUMMYFUNCTION("""COMPUTED_VALUE"""),50876.0)</f>
        <v>50876</v>
      </c>
    </row>
    <row r="842">
      <c r="A842" s="3">
        <f>IFERROR(__xludf.DUMMYFUNCTION("""COMPUTED_VALUE"""),4068310.0)</f>
        <v>4068310</v>
      </c>
    </row>
    <row r="843">
      <c r="A843" s="3">
        <f>IFERROR(__xludf.DUMMYFUNCTION("""COMPUTED_VALUE"""),5137.0)</f>
        <v>5137</v>
      </c>
    </row>
    <row r="844">
      <c r="A844" s="3">
        <f>IFERROR(__xludf.DUMMYFUNCTION("""COMPUTED_VALUE"""),16979.0)</f>
        <v>16979</v>
      </c>
    </row>
    <row r="845">
      <c r="A845" s="3">
        <f>IFERROR(__xludf.DUMMYFUNCTION("""COMPUTED_VALUE"""),61394.0)</f>
        <v>61394</v>
      </c>
    </row>
    <row r="846">
      <c r="A846" s="3">
        <f>IFERROR(__xludf.DUMMYFUNCTION("""COMPUTED_VALUE"""),112474.0)</f>
        <v>112474</v>
      </c>
    </row>
    <row r="847">
      <c r="A847" s="3">
        <f>IFERROR(__xludf.DUMMYFUNCTION("""COMPUTED_VALUE"""),19040.0)</f>
        <v>19040</v>
      </c>
    </row>
    <row r="848">
      <c r="A848" s="3">
        <f>IFERROR(__xludf.DUMMYFUNCTION("""COMPUTED_VALUE"""),41549.0)</f>
        <v>41549</v>
      </c>
    </row>
    <row r="849">
      <c r="A849" s="3">
        <f>IFERROR(__xludf.DUMMYFUNCTION("""COMPUTED_VALUE"""),28896.0)</f>
        <v>28896</v>
      </c>
    </row>
    <row r="850">
      <c r="A850" s="3">
        <f>IFERROR(__xludf.DUMMYFUNCTION("""COMPUTED_VALUE"""),346353.0)</f>
        <v>346353</v>
      </c>
    </row>
    <row r="851">
      <c r="A851" s="3">
        <f>IFERROR(__xludf.DUMMYFUNCTION("""COMPUTED_VALUE"""),52577.0)</f>
        <v>52577</v>
      </c>
    </row>
    <row r="852">
      <c r="A852" s="3">
        <f>IFERROR(__xludf.DUMMYFUNCTION("""COMPUTED_VALUE"""),12279.0)</f>
        <v>12279</v>
      </c>
    </row>
    <row r="853">
      <c r="A853" s="3">
        <f>IFERROR(__xludf.DUMMYFUNCTION("""COMPUTED_VALUE"""),24427.0)</f>
        <v>24427</v>
      </c>
    </row>
    <row r="854">
      <c r="A854" s="3">
        <f>IFERROR(__xludf.DUMMYFUNCTION("""COMPUTED_VALUE"""),5353.0)</f>
        <v>5353</v>
      </c>
    </row>
    <row r="855">
      <c r="A855" s="3">
        <f>IFERROR(__xludf.DUMMYFUNCTION("""COMPUTED_VALUE"""),14217.0)</f>
        <v>14217</v>
      </c>
    </row>
    <row r="856">
      <c r="A856" s="3">
        <f>IFERROR(__xludf.DUMMYFUNCTION("""COMPUTED_VALUE"""),36356.0)</f>
        <v>36356</v>
      </c>
    </row>
    <row r="857">
      <c r="A857" s="3">
        <f>IFERROR(__xludf.DUMMYFUNCTION("""COMPUTED_VALUE"""),10326.0)</f>
        <v>10326</v>
      </c>
    </row>
    <row r="858">
      <c r="A858" s="3">
        <f>IFERROR(__xludf.DUMMYFUNCTION("""COMPUTED_VALUE"""),215405.0)</f>
        <v>215405</v>
      </c>
    </row>
    <row r="859">
      <c r="A859" s="3">
        <f>IFERROR(__xludf.DUMMYFUNCTION("""COMPUTED_VALUE"""),20065.0)</f>
        <v>20065</v>
      </c>
    </row>
    <row r="860">
      <c r="A860" s="3">
        <f>IFERROR(__xludf.DUMMYFUNCTION("""COMPUTED_VALUE"""),324089.0)</f>
        <v>324089</v>
      </c>
    </row>
    <row r="861">
      <c r="A861" s="3">
        <f>IFERROR(__xludf.DUMMYFUNCTION("""COMPUTED_VALUE"""),1076606.0)</f>
        <v>1076606</v>
      </c>
    </row>
    <row r="862">
      <c r="A862" s="3">
        <f>IFERROR(__xludf.DUMMYFUNCTION("""COMPUTED_VALUE"""),808.0)</f>
        <v>808</v>
      </c>
    </row>
    <row r="863">
      <c r="A863" s="3">
        <f>IFERROR(__xludf.DUMMYFUNCTION("""COMPUTED_VALUE"""),474.0)</f>
        <v>474</v>
      </c>
    </row>
    <row r="864">
      <c r="A864" s="3">
        <f>IFERROR(__xludf.DUMMYFUNCTION("""COMPUTED_VALUE"""),1485766.0)</f>
        <v>1485766</v>
      </c>
    </row>
    <row r="865">
      <c r="A865" s="3">
        <f>IFERROR(__xludf.DUMMYFUNCTION("""COMPUTED_VALUE"""),2821193.0)</f>
        <v>2821193</v>
      </c>
    </row>
    <row r="866">
      <c r="A866" s="3">
        <f>IFERROR(__xludf.DUMMYFUNCTION("""COMPUTED_VALUE"""),3654010.0)</f>
        <v>3654010</v>
      </c>
    </row>
    <row r="867">
      <c r="A867" s="3">
        <f>IFERROR(__xludf.DUMMYFUNCTION("""COMPUTED_VALUE"""),1774461.0)</f>
        <v>1774461</v>
      </c>
    </row>
    <row r="868">
      <c r="A868" s="3">
        <f>IFERROR(__xludf.DUMMYFUNCTION("""COMPUTED_VALUE"""),235.0)</f>
        <v>235</v>
      </c>
    </row>
    <row r="869">
      <c r="A869" s="3">
        <f>IFERROR(__xludf.DUMMYFUNCTION("""COMPUTED_VALUE"""),44.0)</f>
        <v>44</v>
      </c>
    </row>
    <row r="870">
      <c r="A870" s="3">
        <f>IFERROR(__xludf.DUMMYFUNCTION("""COMPUTED_VALUE"""),107702.0)</f>
        <v>107702</v>
      </c>
    </row>
    <row r="871">
      <c r="A871" s="3">
        <f>IFERROR(__xludf.DUMMYFUNCTION("""COMPUTED_VALUE"""),1306108.0)</f>
        <v>1306108</v>
      </c>
    </row>
    <row r="872">
      <c r="A872" s="3">
        <f>IFERROR(__xludf.DUMMYFUNCTION("""COMPUTED_VALUE"""),474.0)</f>
        <v>474</v>
      </c>
    </row>
    <row r="873">
      <c r="A873" s="3">
        <f>IFERROR(__xludf.DUMMYFUNCTION("""COMPUTED_VALUE"""),1125483.0)</f>
        <v>1125483</v>
      </c>
    </row>
    <row r="874">
      <c r="A874" s="3">
        <f>IFERROR(__xludf.DUMMYFUNCTION("""COMPUTED_VALUE"""),1954352.0)</f>
        <v>1954352</v>
      </c>
    </row>
    <row r="875">
      <c r="A875" s="3">
        <f>IFERROR(__xludf.DUMMYFUNCTION("""COMPUTED_VALUE"""),2716704.0)</f>
        <v>2716704</v>
      </c>
    </row>
    <row r="876">
      <c r="A876" s="3">
        <f>IFERROR(__xludf.DUMMYFUNCTION("""COMPUTED_VALUE"""),144449.0)</f>
        <v>144449</v>
      </c>
    </row>
    <row r="877">
      <c r="A877" s="3">
        <f>IFERROR(__xludf.DUMMYFUNCTION("""COMPUTED_VALUE"""),3650320.0)</f>
        <v>3650320</v>
      </c>
    </row>
    <row r="878">
      <c r="A878" s="3">
        <f>IFERROR(__xludf.DUMMYFUNCTION("""COMPUTED_VALUE"""),1504891.0)</f>
        <v>1504891</v>
      </c>
    </row>
    <row r="879">
      <c r="A879" s="3">
        <f>IFERROR(__xludf.DUMMYFUNCTION("""COMPUTED_VALUE"""),2192406.0)</f>
        <v>2192406</v>
      </c>
    </row>
    <row r="880">
      <c r="A880" s="3">
        <f>IFERROR(__xludf.DUMMYFUNCTION("""COMPUTED_VALUE"""),508.0)</f>
        <v>508</v>
      </c>
    </row>
    <row r="881">
      <c r="A881" s="3">
        <f>IFERROR(__xludf.DUMMYFUNCTION("""COMPUTED_VALUE"""),2579455.0)</f>
        <v>2579455</v>
      </c>
    </row>
    <row r="882">
      <c r="A882" s="3">
        <f>IFERROR(__xludf.DUMMYFUNCTION("""COMPUTED_VALUE"""),120391.0)</f>
        <v>120391</v>
      </c>
    </row>
    <row r="883">
      <c r="A883" s="3">
        <f>IFERROR(__xludf.DUMMYFUNCTION("""COMPUTED_VALUE"""),1038730.0)</f>
        <v>1038730</v>
      </c>
    </row>
    <row r="884">
      <c r="A884" s="3">
        <f>IFERROR(__xludf.DUMMYFUNCTION("""COMPUTED_VALUE"""),478015.0)</f>
        <v>478015</v>
      </c>
    </row>
    <row r="885">
      <c r="A885" s="3">
        <f>IFERROR(__xludf.DUMMYFUNCTION("""COMPUTED_VALUE"""),160580.0)</f>
        <v>160580</v>
      </c>
    </row>
    <row r="886">
      <c r="A886" s="3">
        <f>IFERROR(__xludf.DUMMYFUNCTION("""COMPUTED_VALUE"""),10370.0)</f>
        <v>10370</v>
      </c>
    </row>
    <row r="887">
      <c r="A887" s="3">
        <f>IFERROR(__xludf.DUMMYFUNCTION("""COMPUTED_VALUE"""),413058.0)</f>
        <v>413058</v>
      </c>
    </row>
    <row r="888">
      <c r="A888" s="3">
        <f>IFERROR(__xludf.DUMMYFUNCTION("""COMPUTED_VALUE"""),2839138.0)</f>
        <v>2839138</v>
      </c>
    </row>
    <row r="889">
      <c r="A889" s="3">
        <f>IFERROR(__xludf.DUMMYFUNCTION("""COMPUTED_VALUE"""),1520967.0)</f>
        <v>1520967</v>
      </c>
    </row>
    <row r="890">
      <c r="A890" s="3">
        <f>IFERROR(__xludf.DUMMYFUNCTION("""COMPUTED_VALUE"""),1531979.0)</f>
        <v>1531979</v>
      </c>
    </row>
    <row r="891">
      <c r="A891" s="3">
        <f>IFERROR(__xludf.DUMMYFUNCTION("""COMPUTED_VALUE"""),1674730.0)</f>
        <v>1674730</v>
      </c>
    </row>
    <row r="892">
      <c r="A892" s="3">
        <f>IFERROR(__xludf.DUMMYFUNCTION("""COMPUTED_VALUE"""),1712178.0)</f>
        <v>1712178</v>
      </c>
    </row>
    <row r="893">
      <c r="A893" s="3">
        <f>IFERROR(__xludf.DUMMYFUNCTION("""COMPUTED_VALUE"""),999578.0)</f>
        <v>999578</v>
      </c>
    </row>
    <row r="894">
      <c r="A894" s="3">
        <f>IFERROR(__xludf.DUMMYFUNCTION("""COMPUTED_VALUE"""),697843.0)</f>
        <v>697843</v>
      </c>
    </row>
    <row r="895">
      <c r="A895" s="3">
        <f>IFERROR(__xludf.DUMMYFUNCTION("""COMPUTED_VALUE"""),583334.0)</f>
        <v>583334</v>
      </c>
    </row>
    <row r="896">
      <c r="A896" s="3">
        <f>IFERROR(__xludf.DUMMYFUNCTION("""COMPUTED_VALUE"""),693.0)</f>
        <v>693</v>
      </c>
    </row>
    <row r="897">
      <c r="A897" s="3">
        <f>IFERROR(__xludf.DUMMYFUNCTION("""COMPUTED_VALUE"""),743423.0)</f>
        <v>743423</v>
      </c>
    </row>
    <row r="898">
      <c r="A898" s="3">
        <f>IFERROR(__xludf.DUMMYFUNCTION("""COMPUTED_VALUE"""),652546.0)</f>
        <v>652546</v>
      </c>
    </row>
    <row r="899">
      <c r="A899" s="3">
        <f>IFERROR(__xludf.DUMMYFUNCTION("""COMPUTED_VALUE"""),83.0)</f>
        <v>83</v>
      </c>
    </row>
    <row r="900">
      <c r="A900" s="3">
        <f>IFERROR(__xludf.DUMMYFUNCTION("""COMPUTED_VALUE"""),915028.0)</f>
        <v>915028</v>
      </c>
    </row>
    <row r="901">
      <c r="A901" s="3">
        <f>IFERROR(__xludf.DUMMYFUNCTION("""COMPUTED_VALUE"""),890344.0)</f>
        <v>890344</v>
      </c>
    </row>
    <row r="902">
      <c r="A902" s="3">
        <f>IFERROR(__xludf.DUMMYFUNCTION("""COMPUTED_VALUE"""),1997027.0)</f>
        <v>1997027</v>
      </c>
    </row>
    <row r="903">
      <c r="A903" s="3">
        <f>IFERROR(__xludf.DUMMYFUNCTION("""COMPUTED_VALUE"""),1330683.0)</f>
        <v>1330683</v>
      </c>
    </row>
    <row r="904">
      <c r="A904" s="3">
        <f>IFERROR(__xludf.DUMMYFUNCTION("""COMPUTED_VALUE"""),1464110.0)</f>
        <v>1464110</v>
      </c>
    </row>
    <row r="905">
      <c r="A905" s="3">
        <f>IFERROR(__xludf.DUMMYFUNCTION("""COMPUTED_VALUE"""),1104293.0)</f>
        <v>1104293</v>
      </c>
    </row>
    <row r="906">
      <c r="A906" s="3">
        <f>IFERROR(__xludf.DUMMYFUNCTION("""COMPUTED_VALUE"""),1483132.0)</f>
        <v>1483132</v>
      </c>
    </row>
    <row r="907">
      <c r="A907" s="3">
        <f>IFERROR(__xludf.DUMMYFUNCTION("""COMPUTED_VALUE"""),53365.0)</f>
        <v>53365</v>
      </c>
    </row>
    <row r="908">
      <c r="A908" s="3">
        <f>IFERROR(__xludf.DUMMYFUNCTION("""COMPUTED_VALUE"""),1280703.0)</f>
        <v>1280703</v>
      </c>
    </row>
    <row r="909">
      <c r="A909" s="3">
        <f>IFERROR(__xludf.DUMMYFUNCTION("""COMPUTED_VALUE"""),594589.0)</f>
        <v>594589</v>
      </c>
    </row>
    <row r="910">
      <c r="A910" s="3">
        <f>IFERROR(__xludf.DUMMYFUNCTION("""COMPUTED_VALUE"""),861434.0)</f>
        <v>861434</v>
      </c>
    </row>
    <row r="911">
      <c r="A911" s="3">
        <f>IFERROR(__xludf.DUMMYFUNCTION("""COMPUTED_VALUE"""),1564421.0)</f>
        <v>1564421</v>
      </c>
    </row>
    <row r="912">
      <c r="A912" s="3">
        <f>IFERROR(__xludf.DUMMYFUNCTION("""COMPUTED_VALUE"""),1121437.0)</f>
        <v>1121437</v>
      </c>
    </row>
    <row r="913">
      <c r="A913" s="3">
        <f>IFERROR(__xludf.DUMMYFUNCTION("""COMPUTED_VALUE"""),2020386.0)</f>
        <v>2020386</v>
      </c>
    </row>
    <row r="914">
      <c r="A914" s="3">
        <f>IFERROR(__xludf.DUMMYFUNCTION("""COMPUTED_VALUE"""),54290.0)</f>
        <v>54290</v>
      </c>
    </row>
    <row r="915">
      <c r="A915" s="3">
        <f>IFERROR(__xludf.DUMMYFUNCTION("""COMPUTED_VALUE"""),56039.0)</f>
        <v>56039</v>
      </c>
    </row>
    <row r="916">
      <c r="A916" s="3">
        <f>IFERROR(__xludf.DUMMYFUNCTION("""COMPUTED_VALUE"""),1944821.0)</f>
        <v>1944821</v>
      </c>
    </row>
    <row r="917">
      <c r="A917" s="3">
        <f>IFERROR(__xludf.DUMMYFUNCTION("""COMPUTED_VALUE"""),651206.0)</f>
        <v>651206</v>
      </c>
    </row>
    <row r="918">
      <c r="A918" s="3">
        <f>IFERROR(__xludf.DUMMYFUNCTION("""COMPUTED_VALUE"""),653174.0)</f>
        <v>653174</v>
      </c>
    </row>
    <row r="919">
      <c r="A919" s="3">
        <f>IFERROR(__xludf.DUMMYFUNCTION("""COMPUTED_VALUE"""),1252143.0)</f>
        <v>1252143</v>
      </c>
    </row>
    <row r="920">
      <c r="A920" s="3">
        <f>IFERROR(__xludf.DUMMYFUNCTION("""COMPUTED_VALUE"""),53351.0)</f>
        <v>53351</v>
      </c>
    </row>
    <row r="921">
      <c r="A921" s="3">
        <f>IFERROR(__xludf.DUMMYFUNCTION("""COMPUTED_VALUE"""),95.0)</f>
        <v>95</v>
      </c>
    </row>
    <row r="922">
      <c r="A922" s="3">
        <f>IFERROR(__xludf.DUMMYFUNCTION("""COMPUTED_VALUE"""),411763.0)</f>
        <v>411763</v>
      </c>
    </row>
    <row r="923">
      <c r="A923" s="3">
        <f>IFERROR(__xludf.DUMMYFUNCTION("""COMPUTED_VALUE"""),37173.0)</f>
        <v>37173</v>
      </c>
    </row>
    <row r="924">
      <c r="A924" s="3">
        <f>IFERROR(__xludf.DUMMYFUNCTION("""COMPUTED_VALUE"""),926912.0)</f>
        <v>926912</v>
      </c>
    </row>
    <row r="925">
      <c r="A925" s="3">
        <f>IFERROR(__xludf.DUMMYFUNCTION("""COMPUTED_VALUE"""),1760000.0)</f>
        <v>1760000</v>
      </c>
    </row>
    <row r="926">
      <c r="A926" s="3">
        <f>IFERROR(__xludf.DUMMYFUNCTION("""COMPUTED_VALUE"""),353.0)</f>
        <v>353</v>
      </c>
    </row>
    <row r="927">
      <c r="A927" s="3">
        <f>IFERROR(__xludf.DUMMYFUNCTION("""COMPUTED_VALUE"""),1048242.0)</f>
        <v>1048242</v>
      </c>
    </row>
    <row r="928">
      <c r="A928" s="3">
        <f>IFERROR(__xludf.DUMMYFUNCTION("""COMPUTED_VALUE"""),665.0)</f>
        <v>665</v>
      </c>
    </row>
    <row r="929">
      <c r="A929" s="3">
        <f>IFERROR(__xludf.DUMMYFUNCTION("""COMPUTED_VALUE"""),642113.0)</f>
        <v>642113</v>
      </c>
    </row>
    <row r="930">
      <c r="A930" s="3">
        <f>IFERROR(__xludf.DUMMYFUNCTION("""COMPUTED_VALUE"""),1561319.0)</f>
        <v>1561319</v>
      </c>
    </row>
    <row r="931">
      <c r="A931" s="3">
        <f>IFERROR(__xludf.DUMMYFUNCTION("""COMPUTED_VALUE"""),25304.0)</f>
        <v>25304</v>
      </c>
    </row>
    <row r="932">
      <c r="A932" s="3">
        <f>IFERROR(__xludf.DUMMYFUNCTION("""COMPUTED_VALUE"""),304522.0)</f>
        <v>304522</v>
      </c>
    </row>
    <row r="933">
      <c r="A933" s="3">
        <f>IFERROR(__xludf.DUMMYFUNCTION("""COMPUTED_VALUE"""),1287441.0)</f>
        <v>1287441</v>
      </c>
    </row>
    <row r="934">
      <c r="A934" s="3">
        <f>IFERROR(__xludf.DUMMYFUNCTION("""COMPUTED_VALUE"""),1152418.0)</f>
        <v>1152418</v>
      </c>
    </row>
    <row r="935">
      <c r="A935" s="3">
        <f>IFERROR(__xludf.DUMMYFUNCTION("""COMPUTED_VALUE"""),1260152.0)</f>
        <v>1260152</v>
      </c>
    </row>
    <row r="936">
      <c r="A936" s="3">
        <f>IFERROR(__xludf.DUMMYFUNCTION("""COMPUTED_VALUE"""),433223.0)</f>
        <v>433223</v>
      </c>
    </row>
    <row r="937">
      <c r="A937" s="3">
        <f>IFERROR(__xludf.DUMMYFUNCTION("""COMPUTED_VALUE"""),95.0)</f>
        <v>95</v>
      </c>
    </row>
    <row r="938">
      <c r="A938" s="3">
        <f>IFERROR(__xludf.DUMMYFUNCTION("""COMPUTED_VALUE"""),1607926.0)</f>
        <v>1607926</v>
      </c>
    </row>
    <row r="939">
      <c r="A939" s="3">
        <f>IFERROR(__xludf.DUMMYFUNCTION("""COMPUTED_VALUE"""),778902.0)</f>
        <v>778902</v>
      </c>
    </row>
    <row r="940">
      <c r="A940" s="3">
        <f>IFERROR(__xludf.DUMMYFUNCTION("""COMPUTED_VALUE"""),777837.0)</f>
        <v>777837</v>
      </c>
    </row>
    <row r="941">
      <c r="A941" s="3">
        <f>IFERROR(__xludf.DUMMYFUNCTION("""COMPUTED_VALUE"""),1492543.0)</f>
        <v>1492543</v>
      </c>
    </row>
    <row r="942">
      <c r="A942" s="3">
        <f>IFERROR(__xludf.DUMMYFUNCTION("""COMPUTED_VALUE"""),452130.0)</f>
        <v>452130</v>
      </c>
    </row>
    <row r="943">
      <c r="A943" s="3">
        <f>IFERROR(__xludf.DUMMYFUNCTION("""COMPUTED_VALUE"""),1269639.0)</f>
        <v>1269639</v>
      </c>
    </row>
    <row r="944">
      <c r="A944" s="3">
        <f>IFERROR(__xludf.DUMMYFUNCTION("""COMPUTED_VALUE"""),823971.0)</f>
        <v>823971</v>
      </c>
    </row>
    <row r="945">
      <c r="A945" s="3">
        <f>IFERROR(__xludf.DUMMYFUNCTION("""COMPUTED_VALUE"""),1100233.0)</f>
        <v>1100233</v>
      </c>
    </row>
    <row r="946">
      <c r="A946" s="3">
        <f>IFERROR(__xludf.DUMMYFUNCTION("""COMPUTED_VALUE"""),650865.0)</f>
        <v>650865</v>
      </c>
    </row>
    <row r="947">
      <c r="A947" s="3">
        <f>IFERROR(__xludf.DUMMYFUNCTION("""COMPUTED_VALUE"""),335625.0)</f>
        <v>335625</v>
      </c>
    </row>
    <row r="948">
      <c r="A948" s="3">
        <f>IFERROR(__xludf.DUMMYFUNCTION("""COMPUTED_VALUE"""),9392.0)</f>
        <v>9392</v>
      </c>
    </row>
    <row r="949">
      <c r="A949" s="3">
        <f>IFERROR(__xludf.DUMMYFUNCTION("""COMPUTED_VALUE"""),1157086.0)</f>
        <v>1157086</v>
      </c>
    </row>
    <row r="950">
      <c r="A950" s="3">
        <f>IFERROR(__xludf.DUMMYFUNCTION("""COMPUTED_VALUE"""),65953.0)</f>
        <v>65953</v>
      </c>
    </row>
    <row r="951">
      <c r="A951" s="3">
        <f>IFERROR(__xludf.DUMMYFUNCTION("""COMPUTED_VALUE"""),725664.0)</f>
        <v>725664</v>
      </c>
    </row>
    <row r="952">
      <c r="A952" s="3">
        <f>IFERROR(__xludf.DUMMYFUNCTION("""COMPUTED_VALUE"""),702649.0)</f>
        <v>702649</v>
      </c>
    </row>
    <row r="953">
      <c r="A953" s="3">
        <f>IFERROR(__xludf.DUMMYFUNCTION("""COMPUTED_VALUE"""),89047.0)</f>
        <v>89047</v>
      </c>
    </row>
    <row r="954">
      <c r="A954" s="3">
        <f>IFERROR(__xludf.DUMMYFUNCTION("""COMPUTED_VALUE"""),792139.0)</f>
        <v>792139</v>
      </c>
    </row>
    <row r="955">
      <c r="A955" s="3">
        <f>IFERROR(__xludf.DUMMYFUNCTION("""COMPUTED_VALUE"""),646889.0)</f>
        <v>646889</v>
      </c>
    </row>
    <row r="956">
      <c r="A956" s="3">
        <f>IFERROR(__xludf.DUMMYFUNCTION("""COMPUTED_VALUE"""),700977.0)</f>
        <v>700977</v>
      </c>
    </row>
    <row r="957">
      <c r="A957" s="3">
        <f>IFERROR(__xludf.DUMMYFUNCTION("""COMPUTED_VALUE"""),376159.0)</f>
        <v>376159</v>
      </c>
    </row>
    <row r="958">
      <c r="A958" s="3">
        <f>IFERROR(__xludf.DUMMYFUNCTION("""COMPUTED_VALUE"""),1492959.0)</f>
        <v>1492959</v>
      </c>
    </row>
    <row r="959">
      <c r="A959" s="3">
        <f>IFERROR(__xludf.DUMMYFUNCTION("""COMPUTED_VALUE"""),778644.0)</f>
        <v>778644</v>
      </c>
    </row>
    <row r="960">
      <c r="A960" s="3">
        <f>IFERROR(__xludf.DUMMYFUNCTION("""COMPUTED_VALUE"""),13255.0)</f>
        <v>13255</v>
      </c>
    </row>
    <row r="961">
      <c r="A961" s="3">
        <f>IFERROR(__xludf.DUMMYFUNCTION("""COMPUTED_VALUE"""),85.0)</f>
        <v>85</v>
      </c>
    </row>
    <row r="962">
      <c r="A962" s="3">
        <f>IFERROR(__xludf.DUMMYFUNCTION("""COMPUTED_VALUE"""),619995.0)</f>
        <v>619995</v>
      </c>
    </row>
    <row r="963">
      <c r="A963" s="3">
        <f>IFERROR(__xludf.DUMMYFUNCTION("""COMPUTED_VALUE"""),4949704.0)</f>
        <v>4949704</v>
      </c>
    </row>
    <row r="964">
      <c r="A964" s="3">
        <f>IFERROR(__xludf.DUMMYFUNCTION("""COMPUTED_VALUE"""),787723.0)</f>
        <v>787723</v>
      </c>
    </row>
    <row r="965">
      <c r="A965" s="3">
        <f>IFERROR(__xludf.DUMMYFUNCTION("""COMPUTED_VALUE"""),58648.0)</f>
        <v>58648</v>
      </c>
    </row>
    <row r="966">
      <c r="A966" s="3">
        <f>IFERROR(__xludf.DUMMYFUNCTION("""COMPUTED_VALUE"""),792506.0)</f>
        <v>792506</v>
      </c>
    </row>
    <row r="967">
      <c r="A967" s="3">
        <f>IFERROR(__xludf.DUMMYFUNCTION("""COMPUTED_VALUE"""),25204.0)</f>
        <v>25204</v>
      </c>
    </row>
    <row r="968">
      <c r="A968" s="3">
        <f>IFERROR(__xludf.DUMMYFUNCTION("""COMPUTED_VALUE"""),665229.0)</f>
        <v>665229</v>
      </c>
    </row>
    <row r="969">
      <c r="A969" s="3">
        <f>IFERROR(__xludf.DUMMYFUNCTION("""COMPUTED_VALUE"""),122633.0)</f>
        <v>122633</v>
      </c>
    </row>
    <row r="970">
      <c r="A970" s="3">
        <f>IFERROR(__xludf.DUMMYFUNCTION("""COMPUTED_VALUE"""),105.0)</f>
        <v>105</v>
      </c>
    </row>
    <row r="971">
      <c r="A971" s="3">
        <f>IFERROR(__xludf.DUMMYFUNCTION("""COMPUTED_VALUE"""),1243165.0)</f>
        <v>1243165</v>
      </c>
    </row>
    <row r="972">
      <c r="A972" s="3">
        <f>IFERROR(__xludf.DUMMYFUNCTION("""COMPUTED_VALUE"""),1653407.0)</f>
        <v>1653407</v>
      </c>
    </row>
    <row r="973">
      <c r="A973" s="3">
        <f>IFERROR(__xludf.DUMMYFUNCTION("""COMPUTED_VALUE"""),52.0)</f>
        <v>52</v>
      </c>
    </row>
    <row r="974">
      <c r="A974" s="3">
        <f>IFERROR(__xludf.DUMMYFUNCTION("""COMPUTED_VALUE"""),426187.0)</f>
        <v>426187</v>
      </c>
    </row>
    <row r="975">
      <c r="A975" s="3">
        <f>IFERROR(__xludf.DUMMYFUNCTION("""COMPUTED_VALUE"""),499996.0)</f>
        <v>499996</v>
      </c>
    </row>
    <row r="976">
      <c r="A976" s="3">
        <f>IFERROR(__xludf.DUMMYFUNCTION("""COMPUTED_VALUE"""),1159476.0)</f>
        <v>1159476</v>
      </c>
    </row>
    <row r="977">
      <c r="A977" s="3">
        <f>IFERROR(__xludf.DUMMYFUNCTION("""COMPUTED_VALUE"""),220739.0)</f>
        <v>220739</v>
      </c>
    </row>
    <row r="978">
      <c r="A978" s="3">
        <f>IFERROR(__xludf.DUMMYFUNCTION("""COMPUTED_VALUE"""),1285125.0)</f>
        <v>1285125</v>
      </c>
    </row>
    <row r="979">
      <c r="A979" s="3">
        <f>IFERROR(__xludf.DUMMYFUNCTION("""COMPUTED_VALUE"""),91.0)</f>
        <v>91</v>
      </c>
    </row>
    <row r="980">
      <c r="A980" s="3">
        <f>IFERROR(__xludf.DUMMYFUNCTION("""COMPUTED_VALUE"""),110537.0)</f>
        <v>110537</v>
      </c>
    </row>
    <row r="981">
      <c r="A981" s="3">
        <f>IFERROR(__xludf.DUMMYFUNCTION("""COMPUTED_VALUE"""),2567346.0)</f>
        <v>2567346</v>
      </c>
    </row>
    <row r="982">
      <c r="A982" s="3">
        <f>IFERROR(__xludf.DUMMYFUNCTION("""COMPUTED_VALUE"""),832.0)</f>
        <v>832</v>
      </c>
    </row>
    <row r="983">
      <c r="A983" s="3">
        <f>IFERROR(__xludf.DUMMYFUNCTION("""COMPUTED_VALUE"""),1394897.0)</f>
        <v>1394897</v>
      </c>
    </row>
    <row r="984">
      <c r="A984" s="3">
        <f>IFERROR(__xludf.DUMMYFUNCTION("""COMPUTED_VALUE"""),26548.0)</f>
        <v>26548</v>
      </c>
    </row>
    <row r="985">
      <c r="A985" s="3">
        <f>IFERROR(__xludf.DUMMYFUNCTION("""COMPUTED_VALUE"""),346152.0)</f>
        <v>346152</v>
      </c>
    </row>
    <row r="986">
      <c r="A986" s="3">
        <f>IFERROR(__xludf.DUMMYFUNCTION("""COMPUTED_VALUE"""),11.0)</f>
        <v>11</v>
      </c>
    </row>
    <row r="987">
      <c r="A987" s="3">
        <f>IFERROR(__xludf.DUMMYFUNCTION("""COMPUTED_VALUE"""),1668775.0)</f>
        <v>1668775</v>
      </c>
    </row>
    <row r="988">
      <c r="A988" s="3">
        <f>IFERROR(__xludf.DUMMYFUNCTION("""COMPUTED_VALUE"""),894447.0)</f>
        <v>894447</v>
      </c>
    </row>
    <row r="989">
      <c r="A989" s="3">
        <f>IFERROR(__xludf.DUMMYFUNCTION("""COMPUTED_VALUE"""),832.0)</f>
        <v>832</v>
      </c>
    </row>
    <row r="990">
      <c r="A990" s="3">
        <f>IFERROR(__xludf.DUMMYFUNCTION("""COMPUTED_VALUE"""),160859.0)</f>
        <v>160859</v>
      </c>
    </row>
    <row r="991">
      <c r="A991" s="3">
        <f>IFERROR(__xludf.DUMMYFUNCTION("""COMPUTED_VALUE"""),1857397.0)</f>
        <v>1857397</v>
      </c>
    </row>
    <row r="992">
      <c r="A992" s="3">
        <f>IFERROR(__xludf.DUMMYFUNCTION("""COMPUTED_VALUE"""),60539.0)</f>
        <v>60539</v>
      </c>
    </row>
    <row r="993">
      <c r="A993" s="3">
        <f>IFERROR(__xludf.DUMMYFUNCTION("""COMPUTED_VALUE"""),34.0)</f>
        <v>34</v>
      </c>
    </row>
    <row r="994">
      <c r="A994" s="3">
        <f>IFERROR(__xludf.DUMMYFUNCTION("""COMPUTED_VALUE"""),171568.0)</f>
        <v>171568</v>
      </c>
    </row>
    <row r="995">
      <c r="A995" s="3">
        <f>IFERROR(__xludf.DUMMYFUNCTION("""COMPUTED_VALUE"""),1999352.0)</f>
        <v>1999352</v>
      </c>
    </row>
    <row r="996">
      <c r="A996" s="3">
        <f>IFERROR(__xludf.DUMMYFUNCTION("""COMPUTED_VALUE"""),884017.0)</f>
        <v>884017</v>
      </c>
    </row>
    <row r="997">
      <c r="A997" s="3">
        <f>IFERROR(__xludf.DUMMYFUNCTION("""COMPUTED_VALUE"""),842588.0)</f>
        <v>842588</v>
      </c>
    </row>
    <row r="998">
      <c r="A998" s="3">
        <f>IFERROR(__xludf.DUMMYFUNCTION("""COMPUTED_VALUE"""),1773010.0)</f>
        <v>1773010</v>
      </c>
    </row>
    <row r="999">
      <c r="A999" s="3">
        <f>IFERROR(__xludf.DUMMYFUNCTION("""COMPUTED_VALUE"""),6.0)</f>
        <v>6</v>
      </c>
    </row>
    <row r="1000">
      <c r="A1000" s="3">
        <f>IFERROR(__xludf.DUMMYFUNCTION("""COMPUTED_VALUE"""),413352.0)</f>
        <v>413352</v>
      </c>
    </row>
    <row r="1001">
      <c r="A1001" s="3">
        <f>IFERROR(__xludf.DUMMYFUNCTION("""COMPUTED_VALUE"""),14507.0)</f>
        <v>14507</v>
      </c>
    </row>
    <row r="1002">
      <c r="A1002" s="3">
        <f>IFERROR(__xludf.DUMMYFUNCTION("""COMPUTED_VALUE"""),2611178.0)</f>
        <v>2611178</v>
      </c>
    </row>
    <row r="1003">
      <c r="A1003" s="3">
        <f>IFERROR(__xludf.DUMMYFUNCTION("""COMPUTED_VALUE"""),37271.0)</f>
        <v>37271</v>
      </c>
    </row>
    <row r="1004">
      <c r="A1004" s="3">
        <f>IFERROR(__xludf.DUMMYFUNCTION("""COMPUTED_VALUE"""),939649.0)</f>
        <v>939649</v>
      </c>
    </row>
    <row r="1005">
      <c r="A1005" s="3">
        <f>IFERROR(__xludf.DUMMYFUNCTION("""COMPUTED_VALUE"""),889188.0)</f>
        <v>889188</v>
      </c>
    </row>
    <row r="1006">
      <c r="A1006" s="3">
        <f>IFERROR(__xludf.DUMMYFUNCTION("""COMPUTED_VALUE"""),1205860.0)</f>
        <v>1205860</v>
      </c>
    </row>
    <row r="1007">
      <c r="A1007" s="3">
        <f>IFERROR(__xludf.DUMMYFUNCTION("""COMPUTED_VALUE"""),49768.0)</f>
        <v>49768</v>
      </c>
    </row>
    <row r="1008">
      <c r="A1008" s="3">
        <f>IFERROR(__xludf.DUMMYFUNCTION("""COMPUTED_VALUE"""),1628949.0)</f>
        <v>1628949</v>
      </c>
    </row>
    <row r="1009">
      <c r="A1009" s="3">
        <f>IFERROR(__xludf.DUMMYFUNCTION("""COMPUTED_VALUE"""),371.0)</f>
        <v>371</v>
      </c>
    </row>
    <row r="1010">
      <c r="A1010" s="3">
        <f>IFERROR(__xludf.DUMMYFUNCTION("""COMPUTED_VALUE"""),62158.0)</f>
        <v>62158</v>
      </c>
    </row>
    <row r="1011">
      <c r="A1011" s="3">
        <f>IFERROR(__xludf.DUMMYFUNCTION("""COMPUTED_VALUE"""),1355831.0)</f>
        <v>1355831</v>
      </c>
    </row>
    <row r="1012">
      <c r="A1012" s="3">
        <f>IFERROR(__xludf.DUMMYFUNCTION("""COMPUTED_VALUE"""),45220.0)</f>
        <v>45220</v>
      </c>
    </row>
    <row r="1013">
      <c r="A1013" s="3">
        <f>IFERROR(__xludf.DUMMYFUNCTION("""COMPUTED_VALUE"""),352567.0)</f>
        <v>352567</v>
      </c>
    </row>
    <row r="1014">
      <c r="A1014" s="3">
        <f>IFERROR(__xludf.DUMMYFUNCTION("""COMPUTED_VALUE"""),5.0)</f>
        <v>5</v>
      </c>
    </row>
    <row r="1015">
      <c r="A1015" s="3">
        <f>IFERROR(__xludf.DUMMYFUNCTION("""COMPUTED_VALUE"""),309.0)</f>
        <v>309</v>
      </c>
    </row>
    <row r="1016">
      <c r="A1016" s="3">
        <f>IFERROR(__xludf.DUMMYFUNCTION("""COMPUTED_VALUE"""),727471.0)</f>
        <v>727471</v>
      </c>
    </row>
    <row r="1017">
      <c r="A1017" s="3">
        <f>IFERROR(__xludf.DUMMYFUNCTION("""COMPUTED_VALUE"""),287667.0)</f>
        <v>287667</v>
      </c>
    </row>
    <row r="1018">
      <c r="A1018" s="3">
        <f>IFERROR(__xludf.DUMMYFUNCTION("""COMPUTED_VALUE"""),21116.0)</f>
        <v>21116</v>
      </c>
    </row>
    <row r="1019">
      <c r="A1019" s="3">
        <f>IFERROR(__xludf.DUMMYFUNCTION("""COMPUTED_VALUE"""),1094666.0)</f>
        <v>1094666</v>
      </c>
    </row>
    <row r="1020">
      <c r="A1020" s="3">
        <f>IFERROR(__xludf.DUMMYFUNCTION("""COMPUTED_VALUE"""),374330.0)</f>
        <v>374330</v>
      </c>
    </row>
    <row r="1021">
      <c r="A1021" s="3">
        <f>IFERROR(__xludf.DUMMYFUNCTION("""COMPUTED_VALUE"""),5081882.0)</f>
        <v>5081882</v>
      </c>
    </row>
    <row r="1022">
      <c r="A1022" s="3">
        <f>IFERROR(__xludf.DUMMYFUNCTION("""COMPUTED_VALUE"""),1849511.0)</f>
        <v>1849511</v>
      </c>
    </row>
    <row r="1023">
      <c r="A1023" s="3">
        <f>IFERROR(__xludf.DUMMYFUNCTION("""COMPUTED_VALUE"""),916284.0)</f>
        <v>916284</v>
      </c>
    </row>
    <row r="1024">
      <c r="A1024" s="3">
        <f>IFERROR(__xludf.DUMMYFUNCTION("""COMPUTED_VALUE"""),1196560.0)</f>
        <v>1196560</v>
      </c>
    </row>
    <row r="1025">
      <c r="A1025" s="3">
        <f>IFERROR(__xludf.DUMMYFUNCTION("""COMPUTED_VALUE"""),808616.0)</f>
        <v>808616</v>
      </c>
    </row>
    <row r="1026">
      <c r="A1026" s="3">
        <f>IFERROR(__xludf.DUMMYFUNCTION("""COMPUTED_VALUE"""),1235654.0)</f>
        <v>1235654</v>
      </c>
    </row>
    <row r="1027">
      <c r="A1027" s="3">
        <f>IFERROR(__xludf.DUMMYFUNCTION("""COMPUTED_VALUE"""),1294964.0)</f>
        <v>1294964</v>
      </c>
    </row>
    <row r="1028">
      <c r="A1028" s="3">
        <f>IFERROR(__xludf.DUMMYFUNCTION("""COMPUTED_VALUE"""),1276202.0)</f>
        <v>1276202</v>
      </c>
    </row>
    <row r="1029">
      <c r="A1029" s="3">
        <f>IFERROR(__xludf.DUMMYFUNCTION("""COMPUTED_VALUE"""),1155616.0)</f>
        <v>1155616</v>
      </c>
    </row>
    <row r="1030">
      <c r="A1030" s="3">
        <f>IFERROR(__xludf.DUMMYFUNCTION("""COMPUTED_VALUE"""),1024121.0)</f>
        <v>1024121</v>
      </c>
    </row>
    <row r="1031">
      <c r="A1031" s="3">
        <f>IFERROR(__xludf.DUMMYFUNCTION("""COMPUTED_VALUE"""),1455101.0)</f>
        <v>1455101</v>
      </c>
    </row>
    <row r="1032">
      <c r="A1032" s="3">
        <f>IFERROR(__xludf.DUMMYFUNCTION("""COMPUTED_VALUE"""),885863.0)</f>
        <v>885863</v>
      </c>
    </row>
    <row r="1033">
      <c r="A1033" s="3">
        <f>IFERROR(__xludf.DUMMYFUNCTION("""COMPUTED_VALUE"""),1451573.0)</f>
        <v>1451573</v>
      </c>
    </row>
    <row r="1034">
      <c r="A1034" s="3">
        <f>IFERROR(__xludf.DUMMYFUNCTION("""COMPUTED_VALUE"""),965789.0)</f>
        <v>965789</v>
      </c>
    </row>
    <row r="1035">
      <c r="A1035" s="3">
        <f>IFERROR(__xludf.DUMMYFUNCTION("""COMPUTED_VALUE"""),1239994.0)</f>
        <v>1239994</v>
      </c>
    </row>
    <row r="1036">
      <c r="A1036" s="3">
        <f>IFERROR(__xludf.DUMMYFUNCTION("""COMPUTED_VALUE"""),690381.0)</f>
        <v>690381</v>
      </c>
    </row>
    <row r="1037">
      <c r="A1037" s="3">
        <f>IFERROR(__xludf.DUMMYFUNCTION("""COMPUTED_VALUE"""),91.0)</f>
        <v>91</v>
      </c>
    </row>
    <row r="1038">
      <c r="A1038" s="3">
        <f>IFERROR(__xludf.DUMMYFUNCTION("""COMPUTED_VALUE"""),1080483.0)</f>
        <v>1080483</v>
      </c>
    </row>
    <row r="1039">
      <c r="A1039" s="3">
        <f>IFERROR(__xludf.DUMMYFUNCTION("""COMPUTED_VALUE"""),35032.0)</f>
        <v>35032</v>
      </c>
    </row>
    <row r="1040">
      <c r="A1040" s="3">
        <f>IFERROR(__xludf.DUMMYFUNCTION("""COMPUTED_VALUE"""),575502.0)</f>
        <v>575502</v>
      </c>
    </row>
    <row r="1041">
      <c r="A1041" s="3">
        <f>IFERROR(__xludf.DUMMYFUNCTION("""COMPUTED_VALUE"""),848028.0)</f>
        <v>848028</v>
      </c>
    </row>
    <row r="1042">
      <c r="A1042" s="3">
        <f>IFERROR(__xludf.DUMMYFUNCTION("""COMPUTED_VALUE"""),1081397.0)</f>
        <v>1081397</v>
      </c>
    </row>
    <row r="1043">
      <c r="A1043" s="3">
        <f>IFERROR(__xludf.DUMMYFUNCTION("""COMPUTED_VALUE"""),1849285.0)</f>
        <v>1849285</v>
      </c>
    </row>
    <row r="1044">
      <c r="A1044" s="3">
        <f>IFERROR(__xludf.DUMMYFUNCTION("""COMPUTED_VALUE"""),1887245.0)</f>
        <v>1887245</v>
      </c>
    </row>
    <row r="1045">
      <c r="A1045" s="3">
        <f>IFERROR(__xludf.DUMMYFUNCTION("""COMPUTED_VALUE"""),1275546.0)</f>
        <v>1275546</v>
      </c>
    </row>
    <row r="1046">
      <c r="A1046" s="3">
        <f>IFERROR(__xludf.DUMMYFUNCTION("""COMPUTED_VALUE"""),54959.0)</f>
        <v>54959</v>
      </c>
    </row>
    <row r="1047">
      <c r="A1047" s="3">
        <f>IFERROR(__xludf.DUMMYFUNCTION("""COMPUTED_VALUE"""),1364961.0)</f>
        <v>1364961</v>
      </c>
    </row>
    <row r="1048">
      <c r="A1048" s="3">
        <f>IFERROR(__xludf.DUMMYFUNCTION("""COMPUTED_VALUE"""),1929406.0)</f>
        <v>1929406</v>
      </c>
    </row>
    <row r="1049">
      <c r="A1049" s="3">
        <f>IFERROR(__xludf.DUMMYFUNCTION("""COMPUTED_VALUE"""),1804941.0)</f>
        <v>1804941</v>
      </c>
    </row>
    <row r="1050">
      <c r="A1050" s="3">
        <f>IFERROR(__xludf.DUMMYFUNCTION("""COMPUTED_VALUE"""),844078.0)</f>
        <v>844078</v>
      </c>
    </row>
    <row r="1051">
      <c r="A1051" s="3">
        <f>IFERROR(__xludf.DUMMYFUNCTION("""COMPUTED_VALUE"""),1531036.0)</f>
        <v>1531036</v>
      </c>
    </row>
    <row r="1052">
      <c r="A1052" s="3">
        <f>IFERROR(__xludf.DUMMYFUNCTION("""COMPUTED_VALUE"""),1167179.0)</f>
        <v>1167179</v>
      </c>
    </row>
    <row r="1053">
      <c r="A1053" s="3">
        <f>IFERROR(__xludf.DUMMYFUNCTION("""COMPUTED_VALUE"""),796172.0)</f>
        <v>796172</v>
      </c>
    </row>
    <row r="1054">
      <c r="A1054" s="3">
        <f>IFERROR(__xludf.DUMMYFUNCTION("""COMPUTED_VALUE"""),929072.0)</f>
        <v>929072</v>
      </c>
    </row>
    <row r="1055">
      <c r="A1055" s="3">
        <f>IFERROR(__xludf.DUMMYFUNCTION("""COMPUTED_VALUE"""),40359.0)</f>
        <v>40359</v>
      </c>
    </row>
    <row r="1056">
      <c r="A1056" s="3">
        <f>IFERROR(__xludf.DUMMYFUNCTION("""COMPUTED_VALUE"""),519997.0)</f>
        <v>519997</v>
      </c>
    </row>
    <row r="1057">
      <c r="A1057" s="3">
        <f>IFERROR(__xludf.DUMMYFUNCTION("""COMPUTED_VALUE"""),1143785.0)</f>
        <v>1143785</v>
      </c>
    </row>
    <row r="1058">
      <c r="A1058" s="3">
        <f>IFERROR(__xludf.DUMMYFUNCTION("""COMPUTED_VALUE"""),1919822.0)</f>
        <v>1919822</v>
      </c>
    </row>
    <row r="1059">
      <c r="A1059" s="3">
        <f>IFERROR(__xludf.DUMMYFUNCTION("""COMPUTED_VALUE"""),1346762.0)</f>
        <v>1346762</v>
      </c>
    </row>
    <row r="1060">
      <c r="A1060" s="3">
        <f>IFERROR(__xludf.DUMMYFUNCTION("""COMPUTED_VALUE"""),1463014.0)</f>
        <v>1463014</v>
      </c>
    </row>
    <row r="1061">
      <c r="A1061" s="3">
        <f>IFERROR(__xludf.DUMMYFUNCTION("""COMPUTED_VALUE"""),2504513.0)</f>
        <v>2504513</v>
      </c>
    </row>
    <row r="1062">
      <c r="A1062" s="3">
        <f>IFERROR(__xludf.DUMMYFUNCTION("""COMPUTED_VALUE"""),977371.0)</f>
        <v>977371</v>
      </c>
    </row>
    <row r="1063">
      <c r="A1063" s="3">
        <f>IFERROR(__xludf.DUMMYFUNCTION("""COMPUTED_VALUE"""),1041930.0)</f>
        <v>1041930</v>
      </c>
    </row>
    <row r="1064">
      <c r="A1064" s="3">
        <f>IFERROR(__xludf.DUMMYFUNCTION("""COMPUTED_VALUE"""),989135.0)</f>
        <v>989135</v>
      </c>
    </row>
    <row r="1065">
      <c r="A1065" s="3">
        <f>IFERROR(__xludf.DUMMYFUNCTION("""COMPUTED_VALUE"""),1030450.0)</f>
        <v>1030450</v>
      </c>
    </row>
    <row r="1066">
      <c r="A1066" s="3">
        <f>IFERROR(__xludf.DUMMYFUNCTION("""COMPUTED_VALUE"""),2032753.0)</f>
        <v>2032753</v>
      </c>
    </row>
    <row r="1067">
      <c r="A1067" s="3">
        <f>IFERROR(__xludf.DUMMYFUNCTION("""COMPUTED_VALUE"""),1175030.0)</f>
        <v>1175030</v>
      </c>
    </row>
    <row r="1068">
      <c r="A1068" s="3">
        <f>IFERROR(__xludf.DUMMYFUNCTION("""COMPUTED_VALUE"""),813690.0)</f>
        <v>813690</v>
      </c>
    </row>
    <row r="1069">
      <c r="A1069" s="3">
        <f>IFERROR(__xludf.DUMMYFUNCTION("""COMPUTED_VALUE"""),57441.0)</f>
        <v>57441</v>
      </c>
    </row>
    <row r="1070">
      <c r="A1070" s="3">
        <f>IFERROR(__xludf.DUMMYFUNCTION("""COMPUTED_VALUE"""),87349.0)</f>
        <v>87349</v>
      </c>
    </row>
    <row r="1071">
      <c r="A1071" s="3">
        <f>IFERROR(__xludf.DUMMYFUNCTION("""COMPUTED_VALUE"""),5092618.0)</f>
        <v>5092618</v>
      </c>
    </row>
    <row r="1072">
      <c r="A1072" s="3">
        <f>IFERROR(__xludf.DUMMYFUNCTION("""COMPUTED_VALUE"""),62616.0)</f>
        <v>62616</v>
      </c>
    </row>
    <row r="1073">
      <c r="A1073" s="3">
        <f>IFERROR(__xludf.DUMMYFUNCTION("""COMPUTED_VALUE"""),42253.0)</f>
        <v>42253</v>
      </c>
    </row>
    <row r="1074">
      <c r="A1074" s="3">
        <f>IFERROR(__xludf.DUMMYFUNCTION("""COMPUTED_VALUE"""),298664.0)</f>
        <v>298664</v>
      </c>
    </row>
    <row r="1075">
      <c r="A1075" s="3">
        <f>IFERROR(__xludf.DUMMYFUNCTION("""COMPUTED_VALUE"""),87863.0)</f>
        <v>87863</v>
      </c>
    </row>
    <row r="1076">
      <c r="A1076" s="3">
        <f>IFERROR(__xludf.DUMMYFUNCTION("""COMPUTED_VALUE"""),40662.0)</f>
        <v>40662</v>
      </c>
    </row>
    <row r="1077">
      <c r="A1077" s="3">
        <f>IFERROR(__xludf.DUMMYFUNCTION("""COMPUTED_VALUE"""),56282.0)</f>
        <v>56282</v>
      </c>
    </row>
    <row r="1078">
      <c r="A1078" s="3">
        <f>IFERROR(__xludf.DUMMYFUNCTION("""COMPUTED_VALUE"""),1511412.0)</f>
        <v>1511412</v>
      </c>
    </row>
    <row r="1079">
      <c r="A1079" s="3">
        <f>IFERROR(__xludf.DUMMYFUNCTION("""COMPUTED_VALUE"""),988792.0)</f>
        <v>988792</v>
      </c>
    </row>
    <row r="1080">
      <c r="A1080" s="3">
        <f>IFERROR(__xludf.DUMMYFUNCTION("""COMPUTED_VALUE"""),1126209.0)</f>
        <v>1126209</v>
      </c>
    </row>
    <row r="1081">
      <c r="A1081" s="3">
        <f>IFERROR(__xludf.DUMMYFUNCTION("""COMPUTED_VALUE"""),1022383.0)</f>
        <v>1022383</v>
      </c>
    </row>
    <row r="1082">
      <c r="A1082" s="3">
        <f>IFERROR(__xludf.DUMMYFUNCTION("""COMPUTED_VALUE"""),82889.0)</f>
        <v>82889</v>
      </c>
    </row>
    <row r="1083">
      <c r="A1083" s="3">
        <f>IFERROR(__xludf.DUMMYFUNCTION("""COMPUTED_VALUE"""),1820394.0)</f>
        <v>1820394</v>
      </c>
    </row>
    <row r="1084">
      <c r="A1084" s="3">
        <f>IFERROR(__xludf.DUMMYFUNCTION("""COMPUTED_VALUE"""),1431111.0)</f>
        <v>1431111</v>
      </c>
    </row>
    <row r="1085">
      <c r="A1085" s="3">
        <f>IFERROR(__xludf.DUMMYFUNCTION("""COMPUTED_VALUE"""),1050911.0)</f>
        <v>1050911</v>
      </c>
    </row>
    <row r="1086">
      <c r="A1086" s="3">
        <f>IFERROR(__xludf.DUMMYFUNCTION("""COMPUTED_VALUE"""),2372152.0)</f>
        <v>2372152</v>
      </c>
    </row>
    <row r="1087">
      <c r="A1087" s="3">
        <f>IFERROR(__xludf.DUMMYFUNCTION("""COMPUTED_VALUE"""),960895.0)</f>
        <v>960895</v>
      </c>
    </row>
    <row r="1088">
      <c r="A1088" s="3">
        <f>IFERROR(__xludf.DUMMYFUNCTION("""COMPUTED_VALUE"""),1059305.0)</f>
        <v>1059305</v>
      </c>
    </row>
    <row r="1089">
      <c r="A1089" s="3">
        <f>IFERROR(__xludf.DUMMYFUNCTION("""COMPUTED_VALUE"""),841773.0)</f>
        <v>841773</v>
      </c>
    </row>
    <row r="1090">
      <c r="A1090" s="3">
        <f>IFERROR(__xludf.DUMMYFUNCTION("""COMPUTED_VALUE"""),900640.0)</f>
        <v>900640</v>
      </c>
    </row>
    <row r="1091">
      <c r="A1091" s="3">
        <f>IFERROR(__xludf.DUMMYFUNCTION("""COMPUTED_VALUE"""),92432.0)</f>
        <v>92432</v>
      </c>
    </row>
    <row r="1092">
      <c r="A1092" s="3">
        <f>IFERROR(__xludf.DUMMYFUNCTION("""COMPUTED_VALUE"""),627616.0)</f>
        <v>627616</v>
      </c>
    </row>
    <row r="1093">
      <c r="A1093" s="3">
        <f>IFERROR(__xludf.DUMMYFUNCTION("""COMPUTED_VALUE"""),1634470.0)</f>
        <v>1634470</v>
      </c>
    </row>
    <row r="1094">
      <c r="A1094" s="3">
        <f>IFERROR(__xludf.DUMMYFUNCTION("""COMPUTED_VALUE"""),1364816.0)</f>
        <v>1364816</v>
      </c>
    </row>
    <row r="1095">
      <c r="A1095" s="3">
        <f>IFERROR(__xludf.DUMMYFUNCTION("""COMPUTED_VALUE"""),1403697.0)</f>
        <v>1403697</v>
      </c>
    </row>
    <row r="1096">
      <c r="A1096" s="3">
        <f>IFERROR(__xludf.DUMMYFUNCTION("""COMPUTED_VALUE"""),1881607.0)</f>
        <v>1881607</v>
      </c>
    </row>
    <row r="1097">
      <c r="A1097" s="3">
        <f>IFERROR(__xludf.DUMMYFUNCTION("""COMPUTED_VALUE"""),1352722.0)</f>
        <v>1352722</v>
      </c>
    </row>
    <row r="1098">
      <c r="A1098" s="3">
        <f>IFERROR(__xludf.DUMMYFUNCTION("""COMPUTED_VALUE"""),868995.0)</f>
        <v>868995</v>
      </c>
    </row>
    <row r="1099">
      <c r="A1099" s="3">
        <f>IFERROR(__xludf.DUMMYFUNCTION("""COMPUTED_VALUE"""),1568839.0)</f>
        <v>1568839</v>
      </c>
    </row>
    <row r="1100">
      <c r="A1100" s="3">
        <f>IFERROR(__xludf.DUMMYFUNCTION("""COMPUTED_VALUE"""),991426.0)</f>
        <v>991426</v>
      </c>
    </row>
    <row r="1101">
      <c r="A1101" s="3">
        <f>IFERROR(__xludf.DUMMYFUNCTION("""COMPUTED_VALUE"""),99573.0)</f>
        <v>99573</v>
      </c>
    </row>
    <row r="1102">
      <c r="A1102" s="3">
        <f>IFERROR(__xludf.DUMMYFUNCTION("""COMPUTED_VALUE"""),163475.0)</f>
        <v>163475</v>
      </c>
    </row>
    <row r="1103">
      <c r="A1103" s="3">
        <f>IFERROR(__xludf.DUMMYFUNCTION("""COMPUTED_VALUE"""),22194.0)</f>
        <v>22194</v>
      </c>
    </row>
    <row r="1104">
      <c r="A1104" s="3">
        <f>IFERROR(__xludf.DUMMYFUNCTION("""COMPUTED_VALUE"""),1031408.0)</f>
        <v>1031408</v>
      </c>
    </row>
    <row r="1105">
      <c r="A1105" s="3">
        <f>IFERROR(__xludf.DUMMYFUNCTION("""COMPUTED_VALUE"""),658000.0)</f>
        <v>658000</v>
      </c>
    </row>
    <row r="1106">
      <c r="A1106" s="3">
        <f>IFERROR(__xludf.DUMMYFUNCTION("""COMPUTED_VALUE"""),2311305.0)</f>
        <v>2311305</v>
      </c>
    </row>
    <row r="1107">
      <c r="A1107" s="3">
        <f>IFERROR(__xludf.DUMMYFUNCTION("""COMPUTED_VALUE"""),127510.0)</f>
        <v>127510</v>
      </c>
    </row>
    <row r="1108">
      <c r="A1108" s="3">
        <f>IFERROR(__xludf.DUMMYFUNCTION("""COMPUTED_VALUE"""),25879.0)</f>
        <v>25879</v>
      </c>
    </row>
    <row r="1109">
      <c r="A1109" s="3">
        <f>IFERROR(__xludf.DUMMYFUNCTION("""COMPUTED_VALUE"""),1195034.0)</f>
        <v>1195034</v>
      </c>
    </row>
    <row r="1110">
      <c r="A1110" s="3">
        <f>IFERROR(__xludf.DUMMYFUNCTION("""COMPUTED_VALUE"""),1170069.0)</f>
        <v>1170069</v>
      </c>
    </row>
    <row r="1111">
      <c r="A1111" s="3">
        <f>IFERROR(__xludf.DUMMYFUNCTION("""COMPUTED_VALUE"""),12647.0)</f>
        <v>12647</v>
      </c>
    </row>
    <row r="1112">
      <c r="A1112" s="3">
        <f>IFERROR(__xludf.DUMMYFUNCTION("""COMPUTED_VALUE"""),27.0)</f>
        <v>27</v>
      </c>
    </row>
    <row r="1113">
      <c r="A1113" s="3">
        <f>IFERROR(__xludf.DUMMYFUNCTION("""COMPUTED_VALUE"""),767567.0)</f>
        <v>767567</v>
      </c>
    </row>
    <row r="1114">
      <c r="A1114" s="3">
        <f>IFERROR(__xludf.DUMMYFUNCTION("""COMPUTED_VALUE"""),22283.0)</f>
        <v>22283</v>
      </c>
    </row>
    <row r="1115">
      <c r="A1115" s="3">
        <f>IFERROR(__xludf.DUMMYFUNCTION("""COMPUTED_VALUE"""),1094569.0)</f>
        <v>1094569</v>
      </c>
    </row>
    <row r="1116">
      <c r="A1116" s="3">
        <f>IFERROR(__xludf.DUMMYFUNCTION("""COMPUTED_VALUE"""),1556582.0)</f>
        <v>1556582</v>
      </c>
    </row>
    <row r="1117">
      <c r="A1117" s="3">
        <f>IFERROR(__xludf.DUMMYFUNCTION("""COMPUTED_VALUE"""),8153.0)</f>
        <v>8153</v>
      </c>
    </row>
    <row r="1118">
      <c r="A1118" s="3">
        <f>IFERROR(__xludf.DUMMYFUNCTION("""COMPUTED_VALUE"""),7547.0)</f>
        <v>7547</v>
      </c>
    </row>
    <row r="1119">
      <c r="A1119" s="3">
        <f>IFERROR(__xludf.DUMMYFUNCTION("""COMPUTED_VALUE"""),1028546.0)</f>
        <v>1028546</v>
      </c>
    </row>
    <row r="1120">
      <c r="A1120" s="3">
        <f>IFERROR(__xludf.DUMMYFUNCTION("""COMPUTED_VALUE"""),874317.0)</f>
        <v>874317</v>
      </c>
    </row>
    <row r="1121">
      <c r="A1121" s="3">
        <f>IFERROR(__xludf.DUMMYFUNCTION("""COMPUTED_VALUE"""),267024.0)</f>
        <v>267024</v>
      </c>
    </row>
    <row r="1122">
      <c r="A1122" s="3">
        <f>IFERROR(__xludf.DUMMYFUNCTION("""COMPUTED_VALUE"""),424014.0)</f>
        <v>424014</v>
      </c>
    </row>
    <row r="1123">
      <c r="A1123" s="3">
        <f>IFERROR(__xludf.DUMMYFUNCTION("""COMPUTED_VALUE"""),843305.0)</f>
        <v>843305</v>
      </c>
    </row>
    <row r="1124">
      <c r="A1124" s="3">
        <f>IFERROR(__xludf.DUMMYFUNCTION("""COMPUTED_VALUE"""),1047782.0)</f>
        <v>1047782</v>
      </c>
    </row>
    <row r="1125">
      <c r="A1125" s="3">
        <f>IFERROR(__xludf.DUMMYFUNCTION("""COMPUTED_VALUE"""),1034962.0)</f>
        <v>1034962</v>
      </c>
    </row>
    <row r="1126">
      <c r="A1126" s="3">
        <f>IFERROR(__xludf.DUMMYFUNCTION("""COMPUTED_VALUE"""),670578.0)</f>
        <v>670578</v>
      </c>
    </row>
    <row r="1127">
      <c r="A1127" s="3">
        <f>IFERROR(__xludf.DUMMYFUNCTION("""COMPUTED_VALUE"""),110790.0)</f>
        <v>110790</v>
      </c>
    </row>
    <row r="1128">
      <c r="A1128" s="3">
        <f>IFERROR(__xludf.DUMMYFUNCTION("""COMPUTED_VALUE"""),70540.0)</f>
        <v>70540</v>
      </c>
    </row>
    <row r="1129">
      <c r="A1129" s="3">
        <f>IFERROR(__xludf.DUMMYFUNCTION("""COMPUTED_VALUE"""),51669.0)</f>
        <v>51669</v>
      </c>
    </row>
    <row r="1130">
      <c r="A1130" s="3">
        <f>IFERROR(__xludf.DUMMYFUNCTION("""COMPUTED_VALUE"""),17892.0)</f>
        <v>17892</v>
      </c>
    </row>
    <row r="1131">
      <c r="A1131" s="3">
        <f>IFERROR(__xludf.DUMMYFUNCTION("""COMPUTED_VALUE"""),74543.0)</f>
        <v>74543</v>
      </c>
    </row>
    <row r="1132">
      <c r="A1132" s="3">
        <f>IFERROR(__xludf.DUMMYFUNCTION("""COMPUTED_VALUE"""),3082142.0)</f>
        <v>3082142</v>
      </c>
    </row>
    <row r="1133">
      <c r="A1133" s="3">
        <f>IFERROR(__xludf.DUMMYFUNCTION("""COMPUTED_VALUE"""),87000.0)</f>
        <v>87000</v>
      </c>
    </row>
    <row r="1134">
      <c r="A1134" s="3">
        <f>IFERROR(__xludf.DUMMYFUNCTION("""COMPUTED_VALUE"""),306582.0)</f>
        <v>306582</v>
      </c>
    </row>
    <row r="1135">
      <c r="A1135" s="3">
        <f>IFERROR(__xludf.DUMMYFUNCTION("""COMPUTED_VALUE"""),559071.0)</f>
        <v>559071</v>
      </c>
    </row>
    <row r="1136">
      <c r="A1136" s="3">
        <f>IFERROR(__xludf.DUMMYFUNCTION("""COMPUTED_VALUE"""),1323523.0)</f>
        <v>1323523</v>
      </c>
    </row>
    <row r="1137">
      <c r="A1137" s="3">
        <f>IFERROR(__xludf.DUMMYFUNCTION("""COMPUTED_VALUE"""),1712468.0)</f>
        <v>1712468</v>
      </c>
    </row>
    <row r="1138">
      <c r="A1138" s="3">
        <f>IFERROR(__xludf.DUMMYFUNCTION("""COMPUTED_VALUE"""),31914.0)</f>
        <v>31914</v>
      </c>
    </row>
    <row r="1139">
      <c r="A1139" s="3">
        <f>IFERROR(__xludf.DUMMYFUNCTION("""COMPUTED_VALUE"""),104913.0)</f>
        <v>104913</v>
      </c>
    </row>
    <row r="1140">
      <c r="A1140" s="3">
        <f>IFERROR(__xludf.DUMMYFUNCTION("""COMPUTED_VALUE"""),468.0)</f>
        <v>468</v>
      </c>
    </row>
    <row r="1141">
      <c r="A1141" s="3">
        <f>IFERROR(__xludf.DUMMYFUNCTION("""COMPUTED_VALUE"""),26.0)</f>
        <v>26</v>
      </c>
    </row>
    <row r="1142">
      <c r="A1142" s="3">
        <f>IFERROR(__xludf.DUMMYFUNCTION("""COMPUTED_VALUE"""),734050.0)</f>
        <v>734050</v>
      </c>
    </row>
    <row r="1143">
      <c r="A1143" s="3">
        <f>IFERROR(__xludf.DUMMYFUNCTION("""COMPUTED_VALUE"""),855199.0)</f>
        <v>855199</v>
      </c>
    </row>
    <row r="1144">
      <c r="A1144" s="3">
        <f>IFERROR(__xludf.DUMMYFUNCTION("""COMPUTED_VALUE"""),2522438.0)</f>
        <v>2522438</v>
      </c>
    </row>
    <row r="1145">
      <c r="A1145" s="3">
        <f>IFERROR(__xludf.DUMMYFUNCTION("""COMPUTED_VALUE"""),14606.0)</f>
        <v>14606</v>
      </c>
    </row>
    <row r="1146">
      <c r="A1146" s="3">
        <f>IFERROR(__xludf.DUMMYFUNCTION("""COMPUTED_VALUE"""),72579.0)</f>
        <v>72579</v>
      </c>
    </row>
    <row r="1147">
      <c r="A1147" s="3">
        <f>IFERROR(__xludf.DUMMYFUNCTION("""COMPUTED_VALUE"""),16375.0)</f>
        <v>16375</v>
      </c>
    </row>
    <row r="1148">
      <c r="A1148" s="3">
        <f>IFERROR(__xludf.DUMMYFUNCTION("""COMPUTED_VALUE"""),2531779.0)</f>
        <v>2531779</v>
      </c>
    </row>
    <row r="1149">
      <c r="A1149" s="3">
        <f>IFERROR(__xludf.DUMMYFUNCTION("""COMPUTED_VALUE"""),1726279.0)</f>
        <v>1726279</v>
      </c>
    </row>
    <row r="1150">
      <c r="A1150" s="3">
        <f>IFERROR(__xludf.DUMMYFUNCTION("""COMPUTED_VALUE"""),1704749.0)</f>
        <v>1704749</v>
      </c>
    </row>
    <row r="1151">
      <c r="A1151" s="3">
        <f>IFERROR(__xludf.DUMMYFUNCTION("""COMPUTED_VALUE"""),125000.0)</f>
        <v>125000</v>
      </c>
    </row>
    <row r="1152">
      <c r="A1152" s="3">
        <f>IFERROR(__xludf.DUMMYFUNCTION("""COMPUTED_VALUE"""),1643351.0)</f>
        <v>1643351</v>
      </c>
    </row>
    <row r="1153">
      <c r="A1153" s="3">
        <f>IFERROR(__xludf.DUMMYFUNCTION("""COMPUTED_VALUE"""),566756.0)</f>
        <v>566756</v>
      </c>
    </row>
    <row r="1154">
      <c r="A1154" s="3">
        <f>IFERROR(__xludf.DUMMYFUNCTION("""COMPUTED_VALUE"""),1055889.0)</f>
        <v>1055889</v>
      </c>
    </row>
    <row r="1155">
      <c r="A1155" s="3">
        <f>IFERROR(__xludf.DUMMYFUNCTION("""COMPUTED_VALUE"""),1037441.0)</f>
        <v>1037441</v>
      </c>
    </row>
    <row r="1156">
      <c r="A1156" s="3">
        <f>IFERROR(__xludf.DUMMYFUNCTION("""COMPUTED_VALUE"""),1773222.0)</f>
        <v>1773222</v>
      </c>
    </row>
    <row r="1157">
      <c r="A1157" s="3">
        <f>IFERROR(__xludf.DUMMYFUNCTION("""COMPUTED_VALUE"""),2383368.0)</f>
        <v>2383368</v>
      </c>
    </row>
    <row r="1158">
      <c r="A1158" s="3">
        <f>IFERROR(__xludf.DUMMYFUNCTION("""COMPUTED_VALUE"""),919025.0)</f>
        <v>919025</v>
      </c>
    </row>
    <row r="1159">
      <c r="A1159" s="3">
        <f>IFERROR(__xludf.DUMMYFUNCTION("""COMPUTED_VALUE"""),1193674.0)</f>
        <v>1193674</v>
      </c>
    </row>
    <row r="1160">
      <c r="A1160" s="3">
        <f>IFERROR(__xludf.DUMMYFUNCTION("""COMPUTED_VALUE"""),1070583.0)</f>
        <v>1070583</v>
      </c>
    </row>
    <row r="1161">
      <c r="A1161" s="3">
        <f>IFERROR(__xludf.DUMMYFUNCTION("""COMPUTED_VALUE"""),9.0)</f>
        <v>9</v>
      </c>
    </row>
    <row r="1162">
      <c r="A1162" s="3">
        <f>IFERROR(__xludf.DUMMYFUNCTION("""COMPUTED_VALUE"""),98.0)</f>
        <v>98</v>
      </c>
    </row>
    <row r="1163">
      <c r="A1163" s="3">
        <f>IFERROR(__xludf.DUMMYFUNCTION("""COMPUTED_VALUE"""),102.0)</f>
        <v>102</v>
      </c>
    </row>
    <row r="1164">
      <c r="A1164" s="3">
        <f>IFERROR(__xludf.DUMMYFUNCTION("""COMPUTED_VALUE"""),830959.0)</f>
        <v>830959</v>
      </c>
    </row>
    <row r="1165">
      <c r="A1165" s="3">
        <f>IFERROR(__xludf.DUMMYFUNCTION("""COMPUTED_VALUE"""),1191942.0)</f>
        <v>1191942</v>
      </c>
    </row>
    <row r="1166">
      <c r="A1166" s="3">
        <f>IFERROR(__xludf.DUMMYFUNCTION("""COMPUTED_VALUE"""),1210857.0)</f>
        <v>1210857</v>
      </c>
    </row>
    <row r="1167">
      <c r="A1167" s="3">
        <f>IFERROR(__xludf.DUMMYFUNCTION("""COMPUTED_VALUE"""),294111.0)</f>
        <v>294111</v>
      </c>
    </row>
    <row r="1168">
      <c r="A1168" s="3">
        <f>IFERROR(__xludf.DUMMYFUNCTION("""COMPUTED_VALUE"""),1180704.0)</f>
        <v>1180704</v>
      </c>
    </row>
    <row r="1169">
      <c r="A1169" s="3">
        <f>IFERROR(__xludf.DUMMYFUNCTION("""COMPUTED_VALUE"""),1458789.0)</f>
        <v>1458789</v>
      </c>
    </row>
    <row r="1170">
      <c r="A1170" s="3">
        <f>IFERROR(__xludf.DUMMYFUNCTION("""COMPUTED_VALUE"""),974832.0)</f>
        <v>974832</v>
      </c>
    </row>
    <row r="1171">
      <c r="A1171" s="3">
        <f>IFERROR(__xludf.DUMMYFUNCTION("""COMPUTED_VALUE"""),45684.0)</f>
        <v>45684</v>
      </c>
    </row>
    <row r="1172">
      <c r="A1172" s="3">
        <f>IFERROR(__xludf.DUMMYFUNCTION("""COMPUTED_VALUE"""),650654.0)</f>
        <v>650654</v>
      </c>
    </row>
    <row r="1173">
      <c r="A1173" s="3">
        <f>IFERROR(__xludf.DUMMYFUNCTION("""COMPUTED_VALUE"""),926744.0)</f>
        <v>926744</v>
      </c>
    </row>
    <row r="1174">
      <c r="A1174" s="3">
        <f>IFERROR(__xludf.DUMMYFUNCTION("""COMPUTED_VALUE"""),838354.0)</f>
        <v>838354</v>
      </c>
    </row>
    <row r="1175">
      <c r="A1175" s="3">
        <f>IFERROR(__xludf.DUMMYFUNCTION("""COMPUTED_VALUE"""),30368.0)</f>
        <v>30368</v>
      </c>
    </row>
    <row r="1176">
      <c r="A1176" s="3">
        <f>IFERROR(__xludf.DUMMYFUNCTION("""COMPUTED_VALUE"""),1193120.0)</f>
        <v>1193120</v>
      </c>
    </row>
    <row r="1177">
      <c r="A1177" s="3">
        <f>IFERROR(__xludf.DUMMYFUNCTION("""COMPUTED_VALUE"""),1449831.0)</f>
        <v>1449831</v>
      </c>
    </row>
    <row r="1178">
      <c r="A1178" s="3">
        <f>IFERROR(__xludf.DUMMYFUNCTION("""COMPUTED_VALUE"""),875733.0)</f>
        <v>875733</v>
      </c>
    </row>
    <row r="1179">
      <c r="A1179" s="3">
        <f>IFERROR(__xludf.DUMMYFUNCTION("""COMPUTED_VALUE"""),257.0)</f>
        <v>257</v>
      </c>
    </row>
    <row r="1180">
      <c r="A1180" s="3">
        <f>IFERROR(__xludf.DUMMYFUNCTION("""COMPUTED_VALUE"""),1022850.0)</f>
        <v>1022850</v>
      </c>
    </row>
    <row r="1181">
      <c r="A1181" s="3">
        <f>IFERROR(__xludf.DUMMYFUNCTION("""COMPUTED_VALUE"""),1782011.0)</f>
        <v>1782011</v>
      </c>
    </row>
    <row r="1182">
      <c r="A1182" s="3">
        <f>IFERROR(__xludf.DUMMYFUNCTION("""COMPUTED_VALUE"""),957432.0)</f>
        <v>957432</v>
      </c>
    </row>
    <row r="1183">
      <c r="A1183" s="3">
        <f>IFERROR(__xludf.DUMMYFUNCTION("""COMPUTED_VALUE"""),886778.0)</f>
        <v>886778</v>
      </c>
    </row>
    <row r="1184">
      <c r="A1184" s="3">
        <f>IFERROR(__xludf.DUMMYFUNCTION("""COMPUTED_VALUE"""),72216.0)</f>
        <v>72216</v>
      </c>
    </row>
    <row r="1185">
      <c r="A1185" s="3">
        <f>IFERROR(__xludf.DUMMYFUNCTION("""COMPUTED_VALUE"""),1160523.0)</f>
        <v>1160523</v>
      </c>
    </row>
    <row r="1186">
      <c r="A1186" s="3">
        <f>IFERROR(__xludf.DUMMYFUNCTION("""COMPUTED_VALUE"""),894949.0)</f>
        <v>894949</v>
      </c>
    </row>
    <row r="1187">
      <c r="A1187" s="3">
        <f>IFERROR(__xludf.DUMMYFUNCTION("""COMPUTED_VALUE"""),1223523.0)</f>
        <v>1223523</v>
      </c>
    </row>
    <row r="1188">
      <c r="A1188" s="3">
        <f>IFERROR(__xludf.DUMMYFUNCTION("""COMPUTED_VALUE"""),108.0)</f>
        <v>108</v>
      </c>
    </row>
    <row r="1189">
      <c r="A1189" s="3">
        <f>IFERROR(__xludf.DUMMYFUNCTION("""COMPUTED_VALUE"""),18737.0)</f>
        <v>18737</v>
      </c>
    </row>
    <row r="1190">
      <c r="A1190" s="3">
        <f>IFERROR(__xludf.DUMMYFUNCTION("""COMPUTED_VALUE"""),885892.0)</f>
        <v>885892</v>
      </c>
    </row>
    <row r="1191">
      <c r="A1191" s="3">
        <f>IFERROR(__xludf.DUMMYFUNCTION("""COMPUTED_VALUE"""),1025737.0)</f>
        <v>1025737</v>
      </c>
    </row>
    <row r="1192">
      <c r="A1192" s="3">
        <f>IFERROR(__xludf.DUMMYFUNCTION("""COMPUTED_VALUE"""),49111.0)</f>
        <v>49111</v>
      </c>
    </row>
    <row r="1193">
      <c r="A1193" s="3">
        <f>IFERROR(__xludf.DUMMYFUNCTION("""COMPUTED_VALUE"""),216685.0)</f>
        <v>216685</v>
      </c>
    </row>
    <row r="1194">
      <c r="A1194" s="3">
        <f>IFERROR(__xludf.DUMMYFUNCTION("""COMPUTED_VALUE"""),1036761.0)</f>
        <v>1036761</v>
      </c>
    </row>
    <row r="1195">
      <c r="A1195" s="3">
        <f>IFERROR(__xludf.DUMMYFUNCTION("""COMPUTED_VALUE"""),66648.0)</f>
        <v>66648</v>
      </c>
    </row>
    <row r="1196">
      <c r="A1196" s="3">
        <f>IFERROR(__xludf.DUMMYFUNCTION("""COMPUTED_VALUE"""),494353.0)</f>
        <v>494353</v>
      </c>
    </row>
    <row r="1197">
      <c r="A1197" s="3">
        <f>IFERROR(__xludf.DUMMYFUNCTION("""COMPUTED_VALUE"""),4187500.0)</f>
        <v>4187500</v>
      </c>
    </row>
    <row r="1198">
      <c r="A1198" s="3">
        <f>IFERROR(__xludf.DUMMYFUNCTION("""COMPUTED_VALUE"""),41940.0)</f>
        <v>41940</v>
      </c>
    </row>
    <row r="1199">
      <c r="A1199" s="3">
        <f>IFERROR(__xludf.DUMMYFUNCTION("""COMPUTED_VALUE"""),39822.0)</f>
        <v>39822</v>
      </c>
    </row>
    <row r="1200">
      <c r="A1200" s="3">
        <f>IFERROR(__xludf.DUMMYFUNCTION("""COMPUTED_VALUE"""),1717206.0)</f>
        <v>1717206</v>
      </c>
    </row>
    <row r="1201">
      <c r="A1201" s="3">
        <f>IFERROR(__xludf.DUMMYFUNCTION("""COMPUTED_VALUE"""),1406673.0)</f>
        <v>1406673</v>
      </c>
    </row>
    <row r="1202">
      <c r="A1202" s="3">
        <f>IFERROR(__xludf.DUMMYFUNCTION("""COMPUTED_VALUE"""),1734062.0)</f>
        <v>1734062</v>
      </c>
    </row>
    <row r="1203">
      <c r="A1203" s="3">
        <f>IFERROR(__xludf.DUMMYFUNCTION("""COMPUTED_VALUE"""),649989.0)</f>
        <v>649989</v>
      </c>
    </row>
    <row r="1204">
      <c r="A1204" s="3">
        <f>IFERROR(__xludf.DUMMYFUNCTION("""COMPUTED_VALUE"""),64952.0)</f>
        <v>64952</v>
      </c>
    </row>
    <row r="1205">
      <c r="A1205" s="3">
        <f>IFERROR(__xludf.DUMMYFUNCTION("""COMPUTED_VALUE"""),977421.0)</f>
        <v>977421</v>
      </c>
    </row>
    <row r="1206">
      <c r="A1206" s="3">
        <f>IFERROR(__xludf.DUMMYFUNCTION("""COMPUTED_VALUE"""),1451194.0)</f>
        <v>1451194</v>
      </c>
    </row>
    <row r="1207">
      <c r="A1207" s="3">
        <f>IFERROR(__xludf.DUMMYFUNCTION("""COMPUTED_VALUE"""),1126055.0)</f>
        <v>1126055</v>
      </c>
    </row>
    <row r="1208">
      <c r="A1208" s="3">
        <f>IFERROR(__xludf.DUMMYFUNCTION("""COMPUTED_VALUE"""),1314654.0)</f>
        <v>1314654</v>
      </c>
    </row>
    <row r="1209">
      <c r="A1209" s="3">
        <f>IFERROR(__xludf.DUMMYFUNCTION("""COMPUTED_VALUE"""),240.0)</f>
        <v>240</v>
      </c>
    </row>
    <row r="1210">
      <c r="A1210" s="3">
        <f>IFERROR(__xludf.DUMMYFUNCTION("""COMPUTED_VALUE"""),991653.0)</f>
        <v>991653</v>
      </c>
    </row>
    <row r="1211">
      <c r="A1211" s="3">
        <f>IFERROR(__xludf.DUMMYFUNCTION("""COMPUTED_VALUE"""),110833.0)</f>
        <v>110833</v>
      </c>
    </row>
    <row r="1212">
      <c r="A1212" s="3">
        <f>IFERROR(__xludf.DUMMYFUNCTION("""COMPUTED_VALUE"""),465001.0)</f>
        <v>465001</v>
      </c>
    </row>
    <row r="1213">
      <c r="A1213" s="3">
        <f>IFERROR(__xludf.DUMMYFUNCTION("""COMPUTED_VALUE"""),730703.0)</f>
        <v>730703</v>
      </c>
    </row>
    <row r="1214">
      <c r="A1214" s="3">
        <f>IFERROR(__xludf.DUMMYFUNCTION("""COMPUTED_VALUE"""),960996.0)</f>
        <v>960996</v>
      </c>
    </row>
    <row r="1215">
      <c r="A1215" s="3">
        <f>IFERROR(__xludf.DUMMYFUNCTION("""COMPUTED_VALUE"""),56676.0)</f>
        <v>56676</v>
      </c>
    </row>
    <row r="1216">
      <c r="A1216" s="3">
        <f>IFERROR(__xludf.DUMMYFUNCTION("""COMPUTED_VALUE"""),304060.0)</f>
        <v>304060</v>
      </c>
    </row>
    <row r="1217">
      <c r="A1217" s="3">
        <f>IFERROR(__xludf.DUMMYFUNCTION("""COMPUTED_VALUE"""),2865536.0)</f>
        <v>2865536</v>
      </c>
    </row>
    <row r="1218">
      <c r="A1218" s="3">
        <f>IFERROR(__xludf.DUMMYFUNCTION("""COMPUTED_VALUE"""),827693.0)</f>
        <v>827693</v>
      </c>
    </row>
    <row r="1219">
      <c r="A1219" s="3">
        <f>IFERROR(__xludf.DUMMYFUNCTION("""COMPUTED_VALUE"""),676720.0)</f>
        <v>676720</v>
      </c>
    </row>
    <row r="1220">
      <c r="A1220" s="3">
        <f>IFERROR(__xludf.DUMMYFUNCTION("""COMPUTED_VALUE"""),606168.0)</f>
        <v>606168</v>
      </c>
    </row>
    <row r="1221">
      <c r="A1221" s="3">
        <f>IFERROR(__xludf.DUMMYFUNCTION("""COMPUTED_VALUE"""),835493.0)</f>
        <v>835493</v>
      </c>
    </row>
    <row r="1222">
      <c r="A1222" s="3">
        <f>IFERROR(__xludf.DUMMYFUNCTION("""COMPUTED_VALUE"""),40725.0)</f>
        <v>40725</v>
      </c>
    </row>
    <row r="1223">
      <c r="A1223" s="3">
        <f>IFERROR(__xludf.DUMMYFUNCTION("""COMPUTED_VALUE"""),18926.0)</f>
        <v>18926</v>
      </c>
    </row>
    <row r="1224">
      <c r="A1224" s="3">
        <f>IFERROR(__xludf.DUMMYFUNCTION("""COMPUTED_VALUE"""),1494696.0)</f>
        <v>1494696</v>
      </c>
    </row>
    <row r="1225">
      <c r="A1225" s="3">
        <f>IFERROR(__xludf.DUMMYFUNCTION("""COMPUTED_VALUE"""),2075185.0)</f>
        <v>2075185</v>
      </c>
    </row>
    <row r="1226">
      <c r="A1226" s="3">
        <f>IFERROR(__xludf.DUMMYFUNCTION("""COMPUTED_VALUE"""),1961487.0)</f>
        <v>1961487</v>
      </c>
    </row>
    <row r="1227">
      <c r="A1227" s="3">
        <f>IFERROR(__xludf.DUMMYFUNCTION("""COMPUTED_VALUE"""),30834.0)</f>
        <v>30834</v>
      </c>
    </row>
    <row r="1228">
      <c r="A1228" s="3">
        <f>IFERROR(__xludf.DUMMYFUNCTION("""COMPUTED_VALUE"""),1.0)</f>
        <v>1</v>
      </c>
    </row>
    <row r="1229">
      <c r="A1229" s="3">
        <f>IFERROR(__xludf.DUMMYFUNCTION("""COMPUTED_VALUE"""),702485.0)</f>
        <v>702485</v>
      </c>
    </row>
    <row r="1230">
      <c r="A1230" s="3">
        <f>IFERROR(__xludf.DUMMYFUNCTION("""COMPUTED_VALUE"""),1417138.0)</f>
        <v>1417138</v>
      </c>
    </row>
    <row r="1231">
      <c r="A1231" s="3">
        <f>IFERROR(__xludf.DUMMYFUNCTION("""COMPUTED_VALUE"""),613163.0)</f>
        <v>613163</v>
      </c>
    </row>
    <row r="1232">
      <c r="A1232" s="3">
        <f>IFERROR(__xludf.DUMMYFUNCTION("""COMPUTED_VALUE"""),2186509.0)</f>
        <v>2186509</v>
      </c>
    </row>
    <row r="1233">
      <c r="A1233" s="3">
        <f>IFERROR(__xludf.DUMMYFUNCTION("""COMPUTED_VALUE"""),81105.0)</f>
        <v>81105</v>
      </c>
    </row>
    <row r="1234">
      <c r="A1234" s="3">
        <f>IFERROR(__xludf.DUMMYFUNCTION("""COMPUTED_VALUE"""),10880.0)</f>
        <v>10880</v>
      </c>
    </row>
    <row r="1235">
      <c r="A1235" s="3">
        <f>IFERROR(__xludf.DUMMYFUNCTION("""COMPUTED_VALUE"""),96739.0)</f>
        <v>96739</v>
      </c>
    </row>
    <row r="1236">
      <c r="A1236" s="3">
        <f>IFERROR(__xludf.DUMMYFUNCTION("""COMPUTED_VALUE"""),59.0)</f>
        <v>59</v>
      </c>
    </row>
    <row r="1237">
      <c r="A1237" s="3">
        <f>IFERROR(__xludf.DUMMYFUNCTION("""COMPUTED_VALUE"""),124434.0)</f>
        <v>124434</v>
      </c>
    </row>
    <row r="1238">
      <c r="A1238" s="3">
        <f>IFERROR(__xludf.DUMMYFUNCTION("""COMPUTED_VALUE"""),2498867.0)</f>
        <v>2498867</v>
      </c>
    </row>
    <row r="1239">
      <c r="A1239" s="3">
        <f>IFERROR(__xludf.DUMMYFUNCTION("""COMPUTED_VALUE"""),216000.0)</f>
        <v>216000</v>
      </c>
    </row>
    <row r="1240">
      <c r="A1240" s="3">
        <f>IFERROR(__xludf.DUMMYFUNCTION("""COMPUTED_VALUE"""),50367.0)</f>
        <v>50367</v>
      </c>
    </row>
    <row r="1241">
      <c r="A1241" s="3">
        <f>IFERROR(__xludf.DUMMYFUNCTION("""COMPUTED_VALUE"""),106209.0)</f>
        <v>106209</v>
      </c>
    </row>
    <row r="1242">
      <c r="A1242" s="3">
        <f>IFERROR(__xludf.DUMMYFUNCTION("""COMPUTED_VALUE"""),59279.0)</f>
        <v>59279</v>
      </c>
    </row>
    <row r="1243">
      <c r="A1243" s="3">
        <f>IFERROR(__xludf.DUMMYFUNCTION("""COMPUTED_VALUE"""),203275.0)</f>
        <v>203275</v>
      </c>
    </row>
    <row r="1244">
      <c r="A1244" s="3">
        <f>IFERROR(__xludf.DUMMYFUNCTION("""COMPUTED_VALUE"""),22586.0)</f>
        <v>22586</v>
      </c>
    </row>
    <row r="1245">
      <c r="A1245" s="3">
        <f>IFERROR(__xludf.DUMMYFUNCTION("""COMPUTED_VALUE"""),62472.0)</f>
        <v>62472</v>
      </c>
    </row>
    <row r="1246">
      <c r="A1246" s="3">
        <f>IFERROR(__xludf.DUMMYFUNCTION("""COMPUTED_VALUE"""),94844.0)</f>
        <v>94844</v>
      </c>
    </row>
    <row r="1247">
      <c r="A1247" s="3">
        <f>IFERROR(__xludf.DUMMYFUNCTION("""COMPUTED_VALUE"""),816.0)</f>
        <v>816</v>
      </c>
    </row>
    <row r="1248">
      <c r="A1248" s="3">
        <f>IFERROR(__xludf.DUMMYFUNCTION("""COMPUTED_VALUE"""),1572499.0)</f>
        <v>1572499</v>
      </c>
    </row>
    <row r="1249">
      <c r="A1249" s="3">
        <f>IFERROR(__xludf.DUMMYFUNCTION("""COMPUTED_VALUE"""),301465.0)</f>
        <v>301465</v>
      </c>
    </row>
    <row r="1250">
      <c r="A1250" s="3">
        <f>IFERROR(__xludf.DUMMYFUNCTION("""COMPUTED_VALUE"""),203619.0)</f>
        <v>203619</v>
      </c>
    </row>
    <row r="1251">
      <c r="A1251" s="3">
        <f>IFERROR(__xludf.DUMMYFUNCTION("""COMPUTED_VALUE"""),84464.0)</f>
        <v>84464</v>
      </c>
    </row>
    <row r="1252">
      <c r="A1252" s="3">
        <f>IFERROR(__xludf.DUMMYFUNCTION("""COMPUTED_VALUE"""),378000.0)</f>
        <v>378000</v>
      </c>
    </row>
    <row r="1253">
      <c r="A1253" s="3">
        <f>IFERROR(__xludf.DUMMYFUNCTION("""COMPUTED_VALUE"""),3.0)</f>
        <v>3</v>
      </c>
    </row>
    <row r="1254">
      <c r="A1254" s="3">
        <f>IFERROR(__xludf.DUMMYFUNCTION("""COMPUTED_VALUE"""),373025.0)</f>
        <v>373025</v>
      </c>
    </row>
    <row r="1255">
      <c r="A1255" s="3">
        <f>IFERROR(__xludf.DUMMYFUNCTION("""COMPUTED_VALUE"""),400.0)</f>
        <v>400</v>
      </c>
    </row>
    <row r="1256">
      <c r="A1256" s="3">
        <f>IFERROR(__xludf.DUMMYFUNCTION("""COMPUTED_VALUE"""),2054761.0)</f>
        <v>2054761</v>
      </c>
    </row>
    <row r="1257">
      <c r="A1257" s="3">
        <f>IFERROR(__xludf.DUMMYFUNCTION("""COMPUTED_VALUE"""),511.0)</f>
        <v>511</v>
      </c>
    </row>
    <row r="1258">
      <c r="A1258" s="3">
        <f>IFERROR(__xludf.DUMMYFUNCTION("""COMPUTED_VALUE"""),938652.0)</f>
        <v>938652</v>
      </c>
    </row>
    <row r="1259">
      <c r="A1259" s="3">
        <f>IFERROR(__xludf.DUMMYFUNCTION("""COMPUTED_VALUE"""),1027.0)</f>
        <v>1027</v>
      </c>
    </row>
    <row r="1260">
      <c r="A1260" s="3">
        <f>IFERROR(__xludf.DUMMYFUNCTION("""COMPUTED_VALUE"""),964688.0)</f>
        <v>964688</v>
      </c>
    </row>
    <row r="1261">
      <c r="A1261" s="3">
        <f>IFERROR(__xludf.DUMMYFUNCTION("""COMPUTED_VALUE"""),2121545.0)</f>
        <v>2121545</v>
      </c>
    </row>
    <row r="1262">
      <c r="A1262" s="3">
        <f>IFERROR(__xludf.DUMMYFUNCTION("""COMPUTED_VALUE"""),34314.0)</f>
        <v>34314</v>
      </c>
    </row>
    <row r="1263">
      <c r="A1263" s="3">
        <f>IFERROR(__xludf.DUMMYFUNCTION("""COMPUTED_VALUE"""),504.0)</f>
        <v>504</v>
      </c>
    </row>
    <row r="1264">
      <c r="A1264" s="3">
        <f>IFERROR(__xludf.DUMMYFUNCTION("""COMPUTED_VALUE"""),31863.0)</f>
        <v>31863</v>
      </c>
    </row>
    <row r="1265">
      <c r="A1265" s="3">
        <f>IFERROR(__xludf.DUMMYFUNCTION("""COMPUTED_VALUE"""),1068476.0)</f>
        <v>1068476</v>
      </c>
    </row>
    <row r="1266">
      <c r="A1266" s="3">
        <f>IFERROR(__xludf.DUMMYFUNCTION("""COMPUTED_VALUE"""),1267181.0)</f>
        <v>1267181</v>
      </c>
    </row>
    <row r="1267">
      <c r="A1267" s="3">
        <f>IFERROR(__xludf.DUMMYFUNCTION("""COMPUTED_VALUE"""),553.0)</f>
        <v>553</v>
      </c>
    </row>
    <row r="1268">
      <c r="A1268" s="3">
        <f>IFERROR(__xludf.DUMMYFUNCTION("""COMPUTED_VALUE"""),18273.0)</f>
        <v>18273</v>
      </c>
    </row>
    <row r="1269">
      <c r="A1269" s="3">
        <f>IFERROR(__xludf.DUMMYFUNCTION("""COMPUTED_VALUE"""),1713326.0)</f>
        <v>1713326</v>
      </c>
    </row>
    <row r="1270">
      <c r="A1270" s="3">
        <f>IFERROR(__xludf.DUMMYFUNCTION("""COMPUTED_VALUE"""),70.0)</f>
        <v>70</v>
      </c>
    </row>
    <row r="1271">
      <c r="A1271" s="3">
        <f>IFERROR(__xludf.DUMMYFUNCTION("""COMPUTED_VALUE"""),609826.0)</f>
        <v>609826</v>
      </c>
    </row>
    <row r="1272">
      <c r="A1272" s="3">
        <f>IFERROR(__xludf.DUMMYFUNCTION("""COMPUTED_VALUE"""),655953.0)</f>
        <v>655953</v>
      </c>
    </row>
    <row r="1273">
      <c r="A1273" s="3">
        <f>IFERROR(__xludf.DUMMYFUNCTION("""COMPUTED_VALUE"""),98479.0)</f>
        <v>98479</v>
      </c>
    </row>
    <row r="1274">
      <c r="A1274" s="3">
        <f>IFERROR(__xludf.DUMMYFUNCTION("""COMPUTED_VALUE"""),1784305.0)</f>
        <v>1784305</v>
      </c>
    </row>
    <row r="1275">
      <c r="A1275" s="3">
        <f>IFERROR(__xludf.DUMMYFUNCTION("""COMPUTED_VALUE"""),95700.0)</f>
        <v>95700</v>
      </c>
    </row>
    <row r="1276">
      <c r="A1276" s="3">
        <f>IFERROR(__xludf.DUMMYFUNCTION("""COMPUTED_VALUE"""),212894.0)</f>
        <v>212894</v>
      </c>
    </row>
    <row r="1277">
      <c r="A1277" s="3">
        <f>IFERROR(__xludf.DUMMYFUNCTION("""COMPUTED_VALUE"""),200.0)</f>
        <v>200</v>
      </c>
    </row>
    <row r="1278">
      <c r="A1278" s="3">
        <f>IFERROR(__xludf.DUMMYFUNCTION("""COMPUTED_VALUE"""),610593.0)</f>
        <v>610593</v>
      </c>
    </row>
    <row r="1279">
      <c r="A1279" s="3">
        <f>IFERROR(__xludf.DUMMYFUNCTION("""COMPUTED_VALUE"""),19171.0)</f>
        <v>19171</v>
      </c>
    </row>
    <row r="1280">
      <c r="A1280" s="3">
        <f>IFERROR(__xludf.DUMMYFUNCTION("""COMPUTED_VALUE"""),165341.0)</f>
        <v>165341</v>
      </c>
    </row>
    <row r="1281">
      <c r="A1281" s="3">
        <f>IFERROR(__xludf.DUMMYFUNCTION("""COMPUTED_VALUE"""),1158640.0)</f>
        <v>1158640</v>
      </c>
    </row>
    <row r="1282">
      <c r="A1282" s="3">
        <f>IFERROR(__xludf.DUMMYFUNCTION("""COMPUTED_VALUE"""),673381.0)</f>
        <v>673381</v>
      </c>
    </row>
    <row r="1283">
      <c r="A1283" s="3">
        <f>IFERROR(__xludf.DUMMYFUNCTION("""COMPUTED_VALUE"""),2098257.0)</f>
        <v>2098257</v>
      </c>
    </row>
    <row r="1284">
      <c r="A1284" s="3">
        <f>IFERROR(__xludf.DUMMYFUNCTION("""COMPUTED_VALUE"""),488006.0)</f>
        <v>488006</v>
      </c>
    </row>
    <row r="1285">
      <c r="A1285" s="3">
        <f>IFERROR(__xludf.DUMMYFUNCTION("""COMPUTED_VALUE"""),3531413.0)</f>
        <v>3531413</v>
      </c>
    </row>
    <row r="1286">
      <c r="A1286" s="3">
        <f>IFERROR(__xludf.DUMMYFUNCTION("""COMPUTED_VALUE"""),976012.0)</f>
        <v>976012</v>
      </c>
    </row>
    <row r="1287">
      <c r="A1287" s="3">
        <f>IFERROR(__xludf.DUMMYFUNCTION("""COMPUTED_VALUE"""),11.0)</f>
        <v>11</v>
      </c>
    </row>
    <row r="1288">
      <c r="A1288" s="3">
        <f>IFERROR(__xludf.DUMMYFUNCTION("""COMPUTED_VALUE"""),2008820.0)</f>
        <v>2008820</v>
      </c>
    </row>
    <row r="1289">
      <c r="A1289" s="3">
        <f>IFERROR(__xludf.DUMMYFUNCTION("""COMPUTED_VALUE"""),745899.0)</f>
        <v>745899</v>
      </c>
    </row>
    <row r="1290">
      <c r="A1290" s="3">
        <f>IFERROR(__xludf.DUMMYFUNCTION("""COMPUTED_VALUE"""),80.0)</f>
        <v>80</v>
      </c>
    </row>
    <row r="1291">
      <c r="A1291" s="3">
        <f>IFERROR(__xludf.DUMMYFUNCTION("""COMPUTED_VALUE"""),2073676.0)</f>
        <v>2073676</v>
      </c>
    </row>
    <row r="1292">
      <c r="A1292" s="3">
        <f>IFERROR(__xludf.DUMMYFUNCTION("""COMPUTED_VALUE"""),38.0)</f>
        <v>38</v>
      </c>
    </row>
    <row r="1293">
      <c r="A1293" s="3">
        <f>IFERROR(__xludf.DUMMYFUNCTION("""COMPUTED_VALUE"""),6044006.0)</f>
        <v>6044006</v>
      </c>
    </row>
    <row r="1294">
      <c r="A1294" s="3">
        <f>IFERROR(__xludf.DUMMYFUNCTION("""COMPUTED_VALUE"""),4029337.0)</f>
        <v>4029337</v>
      </c>
    </row>
    <row r="1295">
      <c r="A1295" s="3">
        <f>IFERROR(__xludf.DUMMYFUNCTION("""COMPUTED_VALUE"""),608077.0)</f>
        <v>608077</v>
      </c>
    </row>
    <row r="1296">
      <c r="A1296" s="3">
        <f>IFERROR(__xludf.DUMMYFUNCTION("""COMPUTED_VALUE"""),83.0)</f>
        <v>83</v>
      </c>
    </row>
    <row r="1297">
      <c r="A1297" s="3">
        <f>IFERROR(__xludf.DUMMYFUNCTION("""COMPUTED_VALUE"""),610598.0)</f>
        <v>610598</v>
      </c>
    </row>
    <row r="1298">
      <c r="A1298" s="3">
        <f>IFERROR(__xludf.DUMMYFUNCTION("""COMPUTED_VALUE"""),670610.0)</f>
        <v>670610</v>
      </c>
    </row>
    <row r="1299">
      <c r="A1299" s="3">
        <f>IFERROR(__xludf.DUMMYFUNCTION("""COMPUTED_VALUE"""),442476.0)</f>
        <v>442476</v>
      </c>
    </row>
    <row r="1300">
      <c r="A1300" s="3">
        <f>IFERROR(__xludf.DUMMYFUNCTION("""COMPUTED_VALUE"""),562096.0)</f>
        <v>562096</v>
      </c>
    </row>
    <row r="1301">
      <c r="A1301" s="3">
        <f>IFERROR(__xludf.DUMMYFUNCTION("""COMPUTED_VALUE"""),588369.0)</f>
        <v>588369</v>
      </c>
    </row>
    <row r="1302">
      <c r="A1302" s="3">
        <f>IFERROR(__xludf.DUMMYFUNCTION("""COMPUTED_VALUE"""),21.0)</f>
        <v>21</v>
      </c>
    </row>
    <row r="1303">
      <c r="A1303" s="3">
        <f>IFERROR(__xludf.DUMMYFUNCTION("""COMPUTED_VALUE"""),66.0)</f>
        <v>66</v>
      </c>
    </row>
    <row r="1304">
      <c r="A1304" s="3">
        <f>IFERROR(__xludf.DUMMYFUNCTION("""COMPUTED_VALUE"""),534502.0)</f>
        <v>534502</v>
      </c>
    </row>
    <row r="1305">
      <c r="A1305" s="3">
        <f>IFERROR(__xludf.DUMMYFUNCTION("""COMPUTED_VALUE"""),580641.0)</f>
        <v>580641</v>
      </c>
    </row>
    <row r="1306">
      <c r="A1306" s="3">
        <f>IFERROR(__xludf.DUMMYFUNCTION("""COMPUTED_VALUE"""),468651.0)</f>
        <v>468651</v>
      </c>
    </row>
    <row r="1307">
      <c r="A1307" s="3">
        <f>IFERROR(__xludf.DUMMYFUNCTION("""COMPUTED_VALUE"""),500374.0)</f>
        <v>500374</v>
      </c>
    </row>
    <row r="1308">
      <c r="A1308" s="3">
        <f>IFERROR(__xludf.DUMMYFUNCTION("""COMPUTED_VALUE"""),638418.0)</f>
        <v>638418</v>
      </c>
    </row>
    <row r="1309">
      <c r="A1309" s="3">
        <f>IFERROR(__xludf.DUMMYFUNCTION("""COMPUTED_VALUE"""),455252.0)</f>
        <v>455252</v>
      </c>
    </row>
    <row r="1310">
      <c r="A1310" s="3">
        <f>IFERROR(__xludf.DUMMYFUNCTION("""COMPUTED_VALUE"""),586329.0)</f>
        <v>586329</v>
      </c>
    </row>
    <row r="1311">
      <c r="A1311" s="3">
        <f>IFERROR(__xludf.DUMMYFUNCTION("""COMPUTED_VALUE"""),40724.0)</f>
        <v>40724</v>
      </c>
    </row>
    <row r="1312">
      <c r="A1312" s="3">
        <f>IFERROR(__xludf.DUMMYFUNCTION("""COMPUTED_VALUE"""),601924.0)</f>
        <v>601924</v>
      </c>
    </row>
    <row r="1313">
      <c r="A1313" s="3">
        <f>IFERROR(__xludf.DUMMYFUNCTION("""COMPUTED_VALUE"""),622687.0)</f>
        <v>622687</v>
      </c>
    </row>
    <row r="1314">
      <c r="A1314" s="3">
        <f>IFERROR(__xludf.DUMMYFUNCTION("""COMPUTED_VALUE"""),1028758.0)</f>
        <v>1028758</v>
      </c>
    </row>
    <row r="1315">
      <c r="A1315" s="3">
        <f>IFERROR(__xludf.DUMMYFUNCTION("""COMPUTED_VALUE"""),329285.0)</f>
        <v>329285</v>
      </c>
    </row>
    <row r="1316">
      <c r="A1316" s="3">
        <f>IFERROR(__xludf.DUMMYFUNCTION("""COMPUTED_VALUE"""),559400.0)</f>
        <v>559400</v>
      </c>
    </row>
    <row r="1317">
      <c r="A1317" s="3">
        <f>IFERROR(__xludf.DUMMYFUNCTION("""COMPUTED_VALUE"""),1329533.0)</f>
        <v>1329533</v>
      </c>
    </row>
    <row r="1318">
      <c r="A1318" s="3">
        <f>IFERROR(__xludf.DUMMYFUNCTION("""COMPUTED_VALUE"""),1175802.0)</f>
        <v>1175802</v>
      </c>
    </row>
    <row r="1319">
      <c r="A1319" s="3">
        <f>IFERROR(__xludf.DUMMYFUNCTION("""COMPUTED_VALUE"""),552004.0)</f>
        <v>552004</v>
      </c>
    </row>
    <row r="1320">
      <c r="A1320" s="3">
        <f>IFERROR(__xludf.DUMMYFUNCTION("""COMPUTED_VALUE"""),1233390.0)</f>
        <v>1233390</v>
      </c>
    </row>
    <row r="1321">
      <c r="A1321" s="3">
        <f>IFERROR(__xludf.DUMMYFUNCTION("""COMPUTED_VALUE"""),999547.0)</f>
        <v>999547</v>
      </c>
    </row>
    <row r="1322">
      <c r="A1322" s="3">
        <f>IFERROR(__xludf.DUMMYFUNCTION("""COMPUTED_VALUE"""),1462260.0)</f>
        <v>1462260</v>
      </c>
    </row>
    <row r="1323">
      <c r="A1323" s="3">
        <f>IFERROR(__xludf.DUMMYFUNCTION("""COMPUTED_VALUE"""),791011.0)</f>
        <v>791011</v>
      </c>
    </row>
    <row r="1324">
      <c r="A1324" s="3">
        <f>IFERROR(__xludf.DUMMYFUNCTION("""COMPUTED_VALUE"""),637459.0)</f>
        <v>637459</v>
      </c>
    </row>
    <row r="1325">
      <c r="A1325" s="3">
        <f>IFERROR(__xludf.DUMMYFUNCTION("""COMPUTED_VALUE"""),817059.0)</f>
        <v>817059</v>
      </c>
    </row>
    <row r="1326">
      <c r="A1326" s="3">
        <f>IFERROR(__xludf.DUMMYFUNCTION("""COMPUTED_VALUE"""),38341.0)</f>
        <v>38341</v>
      </c>
    </row>
    <row r="1327">
      <c r="A1327" s="3">
        <f>IFERROR(__xludf.DUMMYFUNCTION("""COMPUTED_VALUE"""),892073.0)</f>
        <v>892073</v>
      </c>
    </row>
    <row r="1328">
      <c r="A1328" s="3">
        <f>IFERROR(__xludf.DUMMYFUNCTION("""COMPUTED_VALUE"""),519599.0)</f>
        <v>519599</v>
      </c>
    </row>
    <row r="1329">
      <c r="A1329" s="3">
        <f>IFERROR(__xludf.DUMMYFUNCTION("""COMPUTED_VALUE"""),1048552.0)</f>
        <v>1048552</v>
      </c>
    </row>
    <row r="1330">
      <c r="A1330" s="3">
        <f>IFERROR(__xludf.DUMMYFUNCTION("""COMPUTED_VALUE"""),677916.0)</f>
        <v>677916</v>
      </c>
    </row>
    <row r="1331">
      <c r="A1331" s="3">
        <f>IFERROR(__xludf.DUMMYFUNCTION("""COMPUTED_VALUE"""),564816.0)</f>
        <v>564816</v>
      </c>
    </row>
    <row r="1332">
      <c r="A1332" s="3">
        <f>IFERROR(__xludf.DUMMYFUNCTION("""COMPUTED_VALUE"""),50.0)</f>
        <v>50</v>
      </c>
    </row>
    <row r="1333">
      <c r="A1333" s="3">
        <f>IFERROR(__xludf.DUMMYFUNCTION("""COMPUTED_VALUE"""),746051.0)</f>
        <v>746051</v>
      </c>
    </row>
    <row r="1334">
      <c r="A1334" s="3">
        <f>IFERROR(__xludf.DUMMYFUNCTION("""COMPUTED_VALUE"""),572657.0)</f>
        <v>572657</v>
      </c>
    </row>
    <row r="1335">
      <c r="A1335" s="3">
        <f>IFERROR(__xludf.DUMMYFUNCTION("""COMPUTED_VALUE"""),359881.0)</f>
        <v>359881</v>
      </c>
    </row>
    <row r="1336">
      <c r="A1336" s="3">
        <f>IFERROR(__xludf.DUMMYFUNCTION("""COMPUTED_VALUE"""),1092609.0)</f>
        <v>1092609</v>
      </c>
    </row>
    <row r="1337">
      <c r="A1337" s="3">
        <f>IFERROR(__xludf.DUMMYFUNCTION("""COMPUTED_VALUE"""),1061562.0)</f>
        <v>1061562</v>
      </c>
    </row>
    <row r="1338">
      <c r="A1338" s="3">
        <f>IFERROR(__xludf.DUMMYFUNCTION("""COMPUTED_VALUE"""),48580.0)</f>
        <v>48580</v>
      </c>
    </row>
    <row r="1339">
      <c r="A1339" s="3">
        <f>IFERROR(__xludf.DUMMYFUNCTION("""COMPUTED_VALUE"""),917436.0)</f>
        <v>917436</v>
      </c>
    </row>
    <row r="1340">
      <c r="A1340" s="3">
        <f>IFERROR(__xludf.DUMMYFUNCTION("""COMPUTED_VALUE"""),968920.0)</f>
        <v>968920</v>
      </c>
    </row>
    <row r="1341">
      <c r="A1341" s="3">
        <f>IFERROR(__xludf.DUMMYFUNCTION("""COMPUTED_VALUE"""),653141.0)</f>
        <v>653141</v>
      </c>
    </row>
    <row r="1342">
      <c r="A1342" s="3">
        <f>IFERROR(__xludf.DUMMYFUNCTION("""COMPUTED_VALUE"""),85.0)</f>
        <v>85</v>
      </c>
    </row>
    <row r="1343">
      <c r="A1343" s="3">
        <f>IFERROR(__xludf.DUMMYFUNCTION("""COMPUTED_VALUE"""),763966.0)</f>
        <v>763966</v>
      </c>
    </row>
    <row r="1344">
      <c r="A1344" s="3">
        <f>IFERROR(__xludf.DUMMYFUNCTION("""COMPUTED_VALUE"""),211557.0)</f>
        <v>211557</v>
      </c>
    </row>
    <row r="1345">
      <c r="A1345" s="3">
        <f>IFERROR(__xludf.DUMMYFUNCTION("""COMPUTED_VALUE"""),882956.0)</f>
        <v>882956</v>
      </c>
    </row>
    <row r="1346">
      <c r="A1346" s="3">
        <f>IFERROR(__xludf.DUMMYFUNCTION("""COMPUTED_VALUE"""),14530.0)</f>
        <v>14530</v>
      </c>
    </row>
    <row r="1347">
      <c r="A1347" s="3">
        <f>IFERROR(__xludf.DUMMYFUNCTION("""COMPUTED_VALUE"""),358527.0)</f>
        <v>358527</v>
      </c>
    </row>
    <row r="1348">
      <c r="A1348" s="3">
        <f>IFERROR(__xludf.DUMMYFUNCTION("""COMPUTED_VALUE"""),738725.0)</f>
        <v>738725</v>
      </c>
    </row>
    <row r="1349">
      <c r="A1349" s="3">
        <f>IFERROR(__xludf.DUMMYFUNCTION("""COMPUTED_VALUE"""),955878.0)</f>
        <v>955878</v>
      </c>
    </row>
    <row r="1350">
      <c r="A1350" s="3">
        <f>IFERROR(__xludf.DUMMYFUNCTION("""COMPUTED_VALUE"""),753600.0)</f>
        <v>753600</v>
      </c>
    </row>
    <row r="1351">
      <c r="A1351" s="3">
        <f>IFERROR(__xludf.DUMMYFUNCTION("""COMPUTED_VALUE"""),293756.0)</f>
        <v>293756</v>
      </c>
    </row>
    <row r="1352">
      <c r="A1352" s="3">
        <f>IFERROR(__xludf.DUMMYFUNCTION("""COMPUTED_VALUE"""),48.0)</f>
        <v>48</v>
      </c>
    </row>
    <row r="1353">
      <c r="A1353" s="3">
        <f>IFERROR(__xludf.DUMMYFUNCTION("""COMPUTED_VALUE"""),440262.0)</f>
        <v>440262</v>
      </c>
    </row>
    <row r="1354">
      <c r="A1354" s="3">
        <f>IFERROR(__xludf.DUMMYFUNCTION("""COMPUTED_VALUE"""),657037.0)</f>
        <v>657037</v>
      </c>
    </row>
    <row r="1355">
      <c r="A1355" s="3">
        <f>IFERROR(__xludf.DUMMYFUNCTION("""COMPUTED_VALUE"""),50.0)</f>
        <v>50</v>
      </c>
    </row>
    <row r="1356">
      <c r="A1356" s="3">
        <f>IFERROR(__xludf.DUMMYFUNCTION("""COMPUTED_VALUE"""),500857.0)</f>
        <v>500857</v>
      </c>
    </row>
    <row r="1357">
      <c r="A1357" s="3">
        <f>IFERROR(__xludf.DUMMYFUNCTION("""COMPUTED_VALUE"""),1447312.0)</f>
        <v>1447312</v>
      </c>
    </row>
    <row r="1358">
      <c r="A1358" s="3">
        <f>IFERROR(__xludf.DUMMYFUNCTION("""COMPUTED_VALUE"""),1506361.0)</f>
        <v>1506361</v>
      </c>
    </row>
    <row r="1359">
      <c r="A1359" s="3">
        <f>IFERROR(__xludf.DUMMYFUNCTION("""COMPUTED_VALUE"""),429977.0)</f>
        <v>429977</v>
      </c>
    </row>
    <row r="1360">
      <c r="A1360" s="3">
        <f>IFERROR(__xludf.DUMMYFUNCTION("""COMPUTED_VALUE"""),763696.0)</f>
        <v>763696</v>
      </c>
    </row>
    <row r="1361">
      <c r="A1361" s="3">
        <f>IFERROR(__xludf.DUMMYFUNCTION("""COMPUTED_VALUE"""),30117.0)</f>
        <v>30117</v>
      </c>
    </row>
    <row r="1362">
      <c r="A1362" s="3">
        <f>IFERROR(__xludf.DUMMYFUNCTION("""COMPUTED_VALUE"""),1254713.0)</f>
        <v>1254713</v>
      </c>
    </row>
    <row r="1363">
      <c r="A1363" s="3">
        <f>IFERROR(__xludf.DUMMYFUNCTION("""COMPUTED_VALUE"""),25173.0)</f>
        <v>25173</v>
      </c>
    </row>
    <row r="1364">
      <c r="A1364" s="3">
        <f>IFERROR(__xludf.DUMMYFUNCTION("""COMPUTED_VALUE"""),790715.0)</f>
        <v>790715</v>
      </c>
    </row>
    <row r="1365">
      <c r="A1365" s="3">
        <f>IFERROR(__xludf.DUMMYFUNCTION("""COMPUTED_VALUE"""),319712.0)</f>
        <v>319712</v>
      </c>
    </row>
    <row r="1366">
      <c r="A1366" s="3">
        <f>IFERROR(__xludf.DUMMYFUNCTION("""COMPUTED_VALUE"""),958143.0)</f>
        <v>958143</v>
      </c>
    </row>
    <row r="1367">
      <c r="A1367" s="3">
        <f>IFERROR(__xludf.DUMMYFUNCTION("""COMPUTED_VALUE"""),522304.0)</f>
        <v>522304</v>
      </c>
    </row>
    <row r="1368">
      <c r="A1368" s="3">
        <f>IFERROR(__xludf.DUMMYFUNCTION("""COMPUTED_VALUE"""),678516.0)</f>
        <v>678516</v>
      </c>
    </row>
    <row r="1369">
      <c r="A1369" s="3">
        <f>IFERROR(__xludf.DUMMYFUNCTION("""COMPUTED_VALUE"""),54972.0)</f>
        <v>54972</v>
      </c>
    </row>
    <row r="1370">
      <c r="A1370" s="3">
        <f>IFERROR(__xludf.DUMMYFUNCTION("""COMPUTED_VALUE"""),848548.0)</f>
        <v>848548</v>
      </c>
    </row>
    <row r="1371">
      <c r="A1371" s="3">
        <f>IFERROR(__xludf.DUMMYFUNCTION("""COMPUTED_VALUE"""),361038.0)</f>
        <v>361038</v>
      </c>
    </row>
    <row r="1372">
      <c r="A1372" s="3">
        <f>IFERROR(__xludf.DUMMYFUNCTION("""COMPUTED_VALUE"""),783436.0)</f>
        <v>783436</v>
      </c>
    </row>
    <row r="1373">
      <c r="A1373" s="3">
        <f>IFERROR(__xludf.DUMMYFUNCTION("""COMPUTED_VALUE"""),25318.0)</f>
        <v>25318</v>
      </c>
    </row>
    <row r="1374">
      <c r="A1374" s="3">
        <f>IFERROR(__xludf.DUMMYFUNCTION("""COMPUTED_VALUE"""),915717.0)</f>
        <v>915717</v>
      </c>
    </row>
    <row r="1375">
      <c r="A1375" s="3">
        <f>IFERROR(__xludf.DUMMYFUNCTION("""COMPUTED_VALUE"""),316821.0)</f>
        <v>316821</v>
      </c>
    </row>
    <row r="1376">
      <c r="A1376" s="3">
        <f>IFERROR(__xludf.DUMMYFUNCTION("""COMPUTED_VALUE"""),252058.0)</f>
        <v>252058</v>
      </c>
    </row>
    <row r="1377">
      <c r="A1377" s="3">
        <f>IFERROR(__xludf.DUMMYFUNCTION("""COMPUTED_VALUE"""),567335.0)</f>
        <v>567335</v>
      </c>
    </row>
    <row r="1378">
      <c r="A1378" s="3">
        <f>IFERROR(__xludf.DUMMYFUNCTION("""COMPUTED_VALUE"""),220848.0)</f>
        <v>220848</v>
      </c>
    </row>
    <row r="1379">
      <c r="A1379" s="3">
        <f>IFERROR(__xludf.DUMMYFUNCTION("""COMPUTED_VALUE"""),687214.0)</f>
        <v>687214</v>
      </c>
    </row>
    <row r="1380">
      <c r="A1380" s="3">
        <f>IFERROR(__xludf.DUMMYFUNCTION("""COMPUTED_VALUE"""),24242.0)</f>
        <v>24242</v>
      </c>
    </row>
    <row r="1381">
      <c r="A1381" s="3">
        <f>IFERROR(__xludf.DUMMYFUNCTION("""COMPUTED_VALUE"""),390355.0)</f>
        <v>390355</v>
      </c>
    </row>
    <row r="1382">
      <c r="A1382" s="3">
        <f>IFERROR(__xludf.DUMMYFUNCTION("""COMPUTED_VALUE"""),507676.0)</f>
        <v>507676</v>
      </c>
    </row>
    <row r="1383">
      <c r="A1383" s="3">
        <f>IFERROR(__xludf.DUMMYFUNCTION("""COMPUTED_VALUE"""),1254401.0)</f>
        <v>1254401</v>
      </c>
    </row>
    <row r="1384">
      <c r="A1384" s="3">
        <f>IFERROR(__xludf.DUMMYFUNCTION("""COMPUTED_VALUE"""),52065.0)</f>
        <v>52065</v>
      </c>
    </row>
    <row r="1385">
      <c r="A1385" s="3">
        <f>IFERROR(__xludf.DUMMYFUNCTION("""COMPUTED_VALUE"""),56.0)</f>
        <v>56</v>
      </c>
    </row>
    <row r="1386">
      <c r="A1386" s="3">
        <f>IFERROR(__xludf.DUMMYFUNCTION("""COMPUTED_VALUE"""),373817.0)</f>
        <v>373817</v>
      </c>
    </row>
    <row r="1387">
      <c r="A1387" s="3">
        <f>IFERROR(__xludf.DUMMYFUNCTION("""COMPUTED_VALUE"""),28039.0)</f>
        <v>28039</v>
      </c>
    </row>
    <row r="1388">
      <c r="A1388" s="3">
        <f>IFERROR(__xludf.DUMMYFUNCTION("""COMPUTED_VALUE"""),643705.0)</f>
        <v>643705</v>
      </c>
    </row>
    <row r="1389">
      <c r="A1389" s="3">
        <f>IFERROR(__xludf.DUMMYFUNCTION("""COMPUTED_VALUE"""),878427.0)</f>
        <v>878427</v>
      </c>
    </row>
    <row r="1390">
      <c r="A1390" s="3">
        <f>IFERROR(__xludf.DUMMYFUNCTION("""COMPUTED_VALUE"""),429124.0)</f>
        <v>429124</v>
      </c>
    </row>
    <row r="1391">
      <c r="A1391" s="3">
        <f>IFERROR(__xludf.DUMMYFUNCTION("""COMPUTED_VALUE"""),666696.0)</f>
        <v>666696</v>
      </c>
    </row>
    <row r="1392">
      <c r="A1392" s="3">
        <f>IFERROR(__xludf.DUMMYFUNCTION("""COMPUTED_VALUE"""),470000.0)</f>
        <v>470000</v>
      </c>
    </row>
    <row r="1393">
      <c r="A1393" s="3">
        <f>IFERROR(__xludf.DUMMYFUNCTION("""COMPUTED_VALUE"""),577021.0)</f>
        <v>577021</v>
      </c>
    </row>
    <row r="1394">
      <c r="A1394" s="3">
        <f>IFERROR(__xludf.DUMMYFUNCTION("""COMPUTED_VALUE"""),108.0)</f>
        <v>108</v>
      </c>
    </row>
    <row r="1395">
      <c r="A1395" s="3">
        <f>IFERROR(__xludf.DUMMYFUNCTION("""COMPUTED_VALUE"""),665924.0)</f>
        <v>665924</v>
      </c>
    </row>
    <row r="1396">
      <c r="A1396" s="3">
        <f>IFERROR(__xludf.DUMMYFUNCTION("""COMPUTED_VALUE"""),669114.0)</f>
        <v>669114</v>
      </c>
    </row>
    <row r="1397">
      <c r="A1397" s="3">
        <f>IFERROR(__xludf.DUMMYFUNCTION("""COMPUTED_VALUE"""),3.0)</f>
        <v>3</v>
      </c>
    </row>
    <row r="1398">
      <c r="A1398" s="3">
        <f>IFERROR(__xludf.DUMMYFUNCTION("""COMPUTED_VALUE"""),832956.0)</f>
        <v>832956</v>
      </c>
    </row>
    <row r="1399">
      <c r="A1399" s="3">
        <f>IFERROR(__xludf.DUMMYFUNCTION("""COMPUTED_VALUE"""),26552.0)</f>
        <v>26552</v>
      </c>
    </row>
    <row r="1400">
      <c r="A1400" s="3">
        <f>IFERROR(__xludf.DUMMYFUNCTION("""COMPUTED_VALUE"""),1140522.0)</f>
        <v>1140522</v>
      </c>
    </row>
    <row r="1401">
      <c r="A1401" s="3">
        <f>IFERROR(__xludf.DUMMYFUNCTION("""COMPUTED_VALUE"""),725281.0)</f>
        <v>725281</v>
      </c>
    </row>
    <row r="1402">
      <c r="A1402" s="3">
        <f>IFERROR(__xludf.DUMMYFUNCTION("""COMPUTED_VALUE"""),712308.0)</f>
        <v>712308</v>
      </c>
    </row>
    <row r="1403">
      <c r="A1403" s="3">
        <f>IFERROR(__xludf.DUMMYFUNCTION("""COMPUTED_VALUE"""),35403.0)</f>
        <v>35403</v>
      </c>
    </row>
    <row r="1404">
      <c r="A1404" s="3">
        <f>IFERROR(__xludf.DUMMYFUNCTION("""COMPUTED_VALUE"""),253392.0)</f>
        <v>253392</v>
      </c>
    </row>
    <row r="1405">
      <c r="A1405" s="3">
        <f>IFERROR(__xludf.DUMMYFUNCTION("""COMPUTED_VALUE"""),166535.0)</f>
        <v>166535</v>
      </c>
    </row>
    <row r="1406">
      <c r="A1406" s="3">
        <f>IFERROR(__xludf.DUMMYFUNCTION("""COMPUTED_VALUE"""),640520.0)</f>
        <v>640520</v>
      </c>
    </row>
    <row r="1407">
      <c r="A1407" s="3">
        <f>IFERROR(__xludf.DUMMYFUNCTION("""COMPUTED_VALUE"""),856466.0)</f>
        <v>856466</v>
      </c>
    </row>
    <row r="1408">
      <c r="A1408" s="3">
        <f>IFERROR(__xludf.DUMMYFUNCTION("""COMPUTED_VALUE"""),602066.0)</f>
        <v>602066</v>
      </c>
    </row>
    <row r="1409">
      <c r="A1409" s="3">
        <f>IFERROR(__xludf.DUMMYFUNCTION("""COMPUTED_VALUE"""),670000.0)</f>
        <v>670000</v>
      </c>
    </row>
    <row r="1410">
      <c r="A1410" s="3">
        <f>IFERROR(__xludf.DUMMYFUNCTION("""COMPUTED_VALUE"""),36790.0)</f>
        <v>36790</v>
      </c>
    </row>
    <row r="1411">
      <c r="A1411" s="3">
        <f>IFERROR(__xludf.DUMMYFUNCTION("""COMPUTED_VALUE"""),783081.0)</f>
        <v>783081</v>
      </c>
    </row>
    <row r="1412">
      <c r="A1412" s="3">
        <f>IFERROR(__xludf.DUMMYFUNCTION("""COMPUTED_VALUE"""),43.0)</f>
        <v>43</v>
      </c>
    </row>
    <row r="1413">
      <c r="A1413" s="3">
        <f>IFERROR(__xludf.DUMMYFUNCTION("""COMPUTED_VALUE"""),542067.0)</f>
        <v>542067</v>
      </c>
    </row>
    <row r="1414">
      <c r="A1414" s="3">
        <f>IFERROR(__xludf.DUMMYFUNCTION("""COMPUTED_VALUE"""),898810.0)</f>
        <v>898810</v>
      </c>
    </row>
    <row r="1415">
      <c r="A1415" s="3">
        <f>IFERROR(__xludf.DUMMYFUNCTION("""COMPUTED_VALUE"""),831051.0)</f>
        <v>831051</v>
      </c>
    </row>
    <row r="1416">
      <c r="A1416" s="3">
        <f>IFERROR(__xludf.DUMMYFUNCTION("""COMPUTED_VALUE"""),35.0)</f>
        <v>35</v>
      </c>
    </row>
    <row r="1417">
      <c r="A1417" s="3">
        <f>IFERROR(__xludf.DUMMYFUNCTION("""COMPUTED_VALUE"""),732516.0)</f>
        <v>732516</v>
      </c>
    </row>
    <row r="1418">
      <c r="A1418" s="3">
        <f>IFERROR(__xludf.DUMMYFUNCTION("""COMPUTED_VALUE"""),83.0)</f>
        <v>83</v>
      </c>
    </row>
    <row r="1419">
      <c r="A1419" s="3">
        <f>IFERROR(__xludf.DUMMYFUNCTION("""COMPUTED_VALUE"""),970000.0)</f>
        <v>970000</v>
      </c>
    </row>
    <row r="1420">
      <c r="A1420" s="3">
        <f>IFERROR(__xludf.DUMMYFUNCTION("""COMPUTED_VALUE"""),72.0)</f>
        <v>72</v>
      </c>
    </row>
    <row r="1421">
      <c r="A1421" s="3">
        <f>IFERROR(__xludf.DUMMYFUNCTION("""COMPUTED_VALUE"""),310855.0)</f>
        <v>310855</v>
      </c>
    </row>
    <row r="1422">
      <c r="A1422" s="3">
        <f>IFERROR(__xludf.DUMMYFUNCTION("""COMPUTED_VALUE"""),629138.0)</f>
        <v>629138</v>
      </c>
    </row>
    <row r="1423">
      <c r="A1423" s="3">
        <f>IFERROR(__xludf.DUMMYFUNCTION("""COMPUTED_VALUE"""),566691.0)</f>
        <v>566691</v>
      </c>
    </row>
    <row r="1424">
      <c r="A1424" s="3">
        <f>IFERROR(__xludf.DUMMYFUNCTION("""COMPUTED_VALUE"""),1056787.0)</f>
        <v>1056787</v>
      </c>
    </row>
    <row r="1425">
      <c r="A1425" s="3">
        <f>IFERROR(__xludf.DUMMYFUNCTION("""COMPUTED_VALUE"""),789272.0)</f>
        <v>789272</v>
      </c>
    </row>
    <row r="1426">
      <c r="A1426" s="3">
        <f>IFERROR(__xludf.DUMMYFUNCTION("""COMPUTED_VALUE"""),126303.0)</f>
        <v>126303</v>
      </c>
    </row>
    <row r="1427">
      <c r="A1427" s="3">
        <f>IFERROR(__xludf.DUMMYFUNCTION("""COMPUTED_VALUE"""),717222.0)</f>
        <v>717222</v>
      </c>
    </row>
    <row r="1428">
      <c r="A1428" s="3">
        <f>IFERROR(__xludf.DUMMYFUNCTION("""COMPUTED_VALUE"""),1065391.0)</f>
        <v>1065391</v>
      </c>
    </row>
    <row r="1429">
      <c r="A1429" s="3">
        <f>IFERROR(__xludf.DUMMYFUNCTION("""COMPUTED_VALUE"""),17879.0)</f>
        <v>17879</v>
      </c>
    </row>
    <row r="1430">
      <c r="A1430" s="3">
        <f>IFERROR(__xludf.DUMMYFUNCTION("""COMPUTED_VALUE"""),755874.0)</f>
        <v>755874</v>
      </c>
    </row>
    <row r="1431">
      <c r="A1431" s="3">
        <f>IFERROR(__xludf.DUMMYFUNCTION("""COMPUTED_VALUE"""),17518.0)</f>
        <v>17518</v>
      </c>
    </row>
    <row r="1432">
      <c r="A1432" s="3">
        <f>IFERROR(__xludf.DUMMYFUNCTION("""COMPUTED_VALUE"""),78241.0)</f>
        <v>78241</v>
      </c>
    </row>
    <row r="1433">
      <c r="A1433" s="3">
        <f>IFERROR(__xludf.DUMMYFUNCTION("""COMPUTED_VALUE"""),17012.0)</f>
        <v>17012</v>
      </c>
    </row>
    <row r="1434">
      <c r="A1434" s="3">
        <f>IFERROR(__xludf.DUMMYFUNCTION("""COMPUTED_VALUE"""),373694.0)</f>
        <v>373694</v>
      </c>
    </row>
    <row r="1435">
      <c r="A1435" s="3">
        <f>IFERROR(__xludf.DUMMYFUNCTION("""COMPUTED_VALUE"""),60481.0)</f>
        <v>60481</v>
      </c>
    </row>
    <row r="1436">
      <c r="A1436" s="3">
        <f>IFERROR(__xludf.DUMMYFUNCTION("""COMPUTED_VALUE"""),15341.0)</f>
        <v>15341</v>
      </c>
    </row>
    <row r="1437">
      <c r="A1437" s="3">
        <f>IFERROR(__xludf.DUMMYFUNCTION("""COMPUTED_VALUE"""),63.0)</f>
        <v>63</v>
      </c>
    </row>
    <row r="1438">
      <c r="A1438" s="3">
        <f>IFERROR(__xludf.DUMMYFUNCTION("""COMPUTED_VALUE"""),1472465.0)</f>
        <v>1472465</v>
      </c>
    </row>
    <row r="1439">
      <c r="A1439" s="3">
        <f>IFERROR(__xludf.DUMMYFUNCTION("""COMPUTED_VALUE"""),462580.0)</f>
        <v>462580</v>
      </c>
    </row>
    <row r="1440">
      <c r="A1440" s="3">
        <f>IFERROR(__xludf.DUMMYFUNCTION("""COMPUTED_VALUE"""),349318.0)</f>
        <v>349318</v>
      </c>
    </row>
    <row r="1441">
      <c r="A1441" s="3">
        <f>IFERROR(__xludf.DUMMYFUNCTION("""COMPUTED_VALUE"""),1049677.0)</f>
        <v>1049677</v>
      </c>
    </row>
    <row r="1442">
      <c r="A1442" s="3">
        <f>IFERROR(__xludf.DUMMYFUNCTION("""COMPUTED_VALUE"""),757692.0)</f>
        <v>757692</v>
      </c>
    </row>
    <row r="1443">
      <c r="A1443" s="3">
        <f>IFERROR(__xludf.DUMMYFUNCTION("""COMPUTED_VALUE"""),523086.0)</f>
        <v>523086</v>
      </c>
    </row>
    <row r="1444">
      <c r="A1444" s="3">
        <f>IFERROR(__xludf.DUMMYFUNCTION("""COMPUTED_VALUE"""),538184.0)</f>
        <v>538184</v>
      </c>
    </row>
    <row r="1445">
      <c r="A1445" s="3">
        <f>IFERROR(__xludf.DUMMYFUNCTION("""COMPUTED_VALUE"""),537527.0)</f>
        <v>537527</v>
      </c>
    </row>
    <row r="1446">
      <c r="A1446" s="3">
        <f>IFERROR(__xludf.DUMMYFUNCTION("""COMPUTED_VALUE"""),263857.0)</f>
        <v>263857</v>
      </c>
    </row>
    <row r="1447">
      <c r="A1447" s="3">
        <f>IFERROR(__xludf.DUMMYFUNCTION("""COMPUTED_VALUE"""),429137.0)</f>
        <v>429137</v>
      </c>
    </row>
    <row r="1448">
      <c r="A1448" s="3">
        <f>IFERROR(__xludf.DUMMYFUNCTION("""COMPUTED_VALUE"""),334986.0)</f>
        <v>334986</v>
      </c>
    </row>
    <row r="1449">
      <c r="A1449" s="3">
        <f>IFERROR(__xludf.DUMMYFUNCTION("""COMPUTED_VALUE"""),12938.0)</f>
        <v>12938</v>
      </c>
    </row>
    <row r="1450">
      <c r="A1450" s="3">
        <f>IFERROR(__xludf.DUMMYFUNCTION("""COMPUTED_VALUE"""),581174.0)</f>
        <v>581174</v>
      </c>
    </row>
    <row r="1451">
      <c r="A1451" s="3">
        <f>IFERROR(__xludf.DUMMYFUNCTION("""COMPUTED_VALUE"""),371397.0)</f>
        <v>371397</v>
      </c>
    </row>
    <row r="1452">
      <c r="A1452" s="3">
        <f>IFERROR(__xludf.DUMMYFUNCTION("""COMPUTED_VALUE"""),712615.0)</f>
        <v>712615</v>
      </c>
    </row>
    <row r="1453">
      <c r="A1453" s="3">
        <f>IFERROR(__xludf.DUMMYFUNCTION("""COMPUTED_VALUE"""),426237.0)</f>
        <v>426237</v>
      </c>
    </row>
    <row r="1454">
      <c r="A1454" s="3">
        <f>IFERROR(__xludf.DUMMYFUNCTION("""COMPUTED_VALUE"""),861638.0)</f>
        <v>861638</v>
      </c>
    </row>
    <row r="1455">
      <c r="A1455" s="3">
        <f>IFERROR(__xludf.DUMMYFUNCTION("""COMPUTED_VALUE"""),923233.0)</f>
        <v>923233</v>
      </c>
    </row>
    <row r="1456">
      <c r="A1456" s="3">
        <f>IFERROR(__xludf.DUMMYFUNCTION("""COMPUTED_VALUE"""),1109047.0)</f>
        <v>1109047</v>
      </c>
    </row>
    <row r="1457">
      <c r="A1457" s="3">
        <f>IFERROR(__xludf.DUMMYFUNCTION("""COMPUTED_VALUE"""),33204.0)</f>
        <v>33204</v>
      </c>
    </row>
    <row r="1458">
      <c r="A1458" s="3">
        <f>IFERROR(__xludf.DUMMYFUNCTION("""COMPUTED_VALUE"""),33190.0)</f>
        <v>33190</v>
      </c>
    </row>
    <row r="1459">
      <c r="A1459" s="3">
        <f>IFERROR(__xludf.DUMMYFUNCTION("""COMPUTED_VALUE"""),359583.0)</f>
        <v>359583</v>
      </c>
    </row>
    <row r="1460">
      <c r="A1460" s="3">
        <f>IFERROR(__xludf.DUMMYFUNCTION("""COMPUTED_VALUE"""),536700.0)</f>
        <v>536700</v>
      </c>
    </row>
    <row r="1461">
      <c r="A1461" s="3">
        <f>IFERROR(__xludf.DUMMYFUNCTION("""COMPUTED_VALUE"""),487335.0)</f>
        <v>487335</v>
      </c>
    </row>
    <row r="1462">
      <c r="A1462" s="3">
        <f>IFERROR(__xludf.DUMMYFUNCTION("""COMPUTED_VALUE"""),192631.0)</f>
        <v>192631</v>
      </c>
    </row>
    <row r="1463">
      <c r="A1463" s="3">
        <f>IFERROR(__xludf.DUMMYFUNCTION("""COMPUTED_VALUE"""),474309.0)</f>
        <v>474309</v>
      </c>
    </row>
    <row r="1464">
      <c r="A1464" s="3">
        <f>IFERROR(__xludf.DUMMYFUNCTION("""COMPUTED_VALUE"""),522447.0)</f>
        <v>522447</v>
      </c>
    </row>
    <row r="1465">
      <c r="A1465" s="3">
        <f>IFERROR(__xludf.DUMMYFUNCTION("""COMPUTED_VALUE"""),345526.0)</f>
        <v>345526</v>
      </c>
    </row>
    <row r="1466">
      <c r="A1466" s="3">
        <f>IFERROR(__xludf.DUMMYFUNCTION("""COMPUTED_VALUE"""),661761.0)</f>
        <v>661761</v>
      </c>
    </row>
    <row r="1467">
      <c r="A1467" s="3">
        <f>IFERROR(__xludf.DUMMYFUNCTION("""COMPUTED_VALUE"""),1005277.0)</f>
        <v>1005277</v>
      </c>
    </row>
    <row r="1468">
      <c r="A1468" s="3">
        <f>IFERROR(__xludf.DUMMYFUNCTION("""COMPUTED_VALUE"""),1028877.0)</f>
        <v>1028877</v>
      </c>
    </row>
    <row r="1469">
      <c r="A1469" s="3">
        <f>IFERROR(__xludf.DUMMYFUNCTION("""COMPUTED_VALUE"""),102.0)</f>
        <v>102</v>
      </c>
    </row>
    <row r="1470">
      <c r="A1470" s="3">
        <f>IFERROR(__xludf.DUMMYFUNCTION("""COMPUTED_VALUE"""),937282.0)</f>
        <v>937282</v>
      </c>
    </row>
    <row r="1471">
      <c r="A1471" s="3">
        <f>IFERROR(__xludf.DUMMYFUNCTION("""COMPUTED_VALUE"""),279712.0)</f>
        <v>279712</v>
      </c>
    </row>
    <row r="1472">
      <c r="A1472" s="3">
        <f>IFERROR(__xludf.DUMMYFUNCTION("""COMPUTED_VALUE"""),640451.0)</f>
        <v>640451</v>
      </c>
    </row>
    <row r="1473">
      <c r="A1473" s="3">
        <f>IFERROR(__xludf.DUMMYFUNCTION("""COMPUTED_VALUE"""),921294.0)</f>
        <v>921294</v>
      </c>
    </row>
    <row r="1474">
      <c r="A1474" s="3">
        <f>IFERROR(__xludf.DUMMYFUNCTION("""COMPUTED_VALUE"""),17736.0)</f>
        <v>17736</v>
      </c>
    </row>
    <row r="1475">
      <c r="A1475" s="3">
        <f>IFERROR(__xludf.DUMMYFUNCTION("""COMPUTED_VALUE"""),381703.0)</f>
        <v>381703</v>
      </c>
    </row>
    <row r="1476">
      <c r="A1476" s="3">
        <f>IFERROR(__xludf.DUMMYFUNCTION("""COMPUTED_VALUE"""),63.0)</f>
        <v>63</v>
      </c>
    </row>
    <row r="1477">
      <c r="A1477" s="3">
        <f>IFERROR(__xludf.DUMMYFUNCTION("""COMPUTED_VALUE"""),837449.0)</f>
        <v>837449</v>
      </c>
    </row>
    <row r="1478">
      <c r="A1478" s="3">
        <f>IFERROR(__xludf.DUMMYFUNCTION("""COMPUTED_VALUE"""),225861.0)</f>
        <v>225861</v>
      </c>
    </row>
    <row r="1479">
      <c r="A1479" s="3">
        <f>IFERROR(__xludf.DUMMYFUNCTION("""COMPUTED_VALUE"""),33148.0)</f>
        <v>33148</v>
      </c>
    </row>
    <row r="1480">
      <c r="A1480" s="3">
        <f>IFERROR(__xludf.DUMMYFUNCTION("""COMPUTED_VALUE"""),1656855.0)</f>
        <v>1656855</v>
      </c>
    </row>
    <row r="1481">
      <c r="A1481" s="3">
        <f>IFERROR(__xludf.DUMMYFUNCTION("""COMPUTED_VALUE"""),44608.0)</f>
        <v>44608</v>
      </c>
    </row>
    <row r="1482">
      <c r="A1482" s="3">
        <f>IFERROR(__xludf.DUMMYFUNCTION("""COMPUTED_VALUE"""),829909.0)</f>
        <v>829909</v>
      </c>
    </row>
    <row r="1483">
      <c r="A1483" s="3">
        <f>IFERROR(__xludf.DUMMYFUNCTION("""COMPUTED_VALUE"""),72.0)</f>
        <v>72</v>
      </c>
    </row>
    <row r="1484">
      <c r="A1484" s="3">
        <f>IFERROR(__xludf.DUMMYFUNCTION("""COMPUTED_VALUE"""),15724.0)</f>
        <v>15724</v>
      </c>
    </row>
    <row r="1485">
      <c r="A1485" s="3">
        <f>IFERROR(__xludf.DUMMYFUNCTION("""COMPUTED_VALUE"""),466577.0)</f>
        <v>466577</v>
      </c>
    </row>
    <row r="1486">
      <c r="A1486" s="3">
        <f>IFERROR(__xludf.DUMMYFUNCTION("""COMPUTED_VALUE"""),19.0)</f>
        <v>19</v>
      </c>
    </row>
    <row r="1487">
      <c r="A1487" s="3">
        <f>IFERROR(__xludf.DUMMYFUNCTION("""COMPUTED_VALUE"""),66.0)</f>
        <v>66</v>
      </c>
    </row>
    <row r="1488">
      <c r="A1488" s="3">
        <f>IFERROR(__xludf.DUMMYFUNCTION("""COMPUTED_VALUE"""),422946.0)</f>
        <v>422946</v>
      </c>
    </row>
    <row r="1489">
      <c r="A1489" s="3">
        <f>IFERROR(__xludf.DUMMYFUNCTION("""COMPUTED_VALUE"""),55995.0)</f>
        <v>55995</v>
      </c>
    </row>
    <row r="1490">
      <c r="A1490" s="3">
        <f>IFERROR(__xludf.DUMMYFUNCTION("""COMPUTED_VALUE"""),62.0)</f>
        <v>62</v>
      </c>
    </row>
    <row r="1491">
      <c r="A1491" s="3">
        <f>IFERROR(__xludf.DUMMYFUNCTION("""COMPUTED_VALUE"""),377367.0)</f>
        <v>377367</v>
      </c>
    </row>
    <row r="1492">
      <c r="A1492" s="3">
        <f>IFERROR(__xludf.DUMMYFUNCTION("""COMPUTED_VALUE"""),36204.0)</f>
        <v>36204</v>
      </c>
    </row>
    <row r="1493">
      <c r="A1493" s="3">
        <f>IFERROR(__xludf.DUMMYFUNCTION("""COMPUTED_VALUE"""),69456.0)</f>
        <v>69456</v>
      </c>
    </row>
    <row r="1494">
      <c r="A1494" s="3">
        <f>IFERROR(__xludf.DUMMYFUNCTION("""COMPUTED_VALUE"""),399044.0)</f>
        <v>399044</v>
      </c>
    </row>
    <row r="1495">
      <c r="A1495" s="3">
        <f>IFERROR(__xludf.DUMMYFUNCTION("""COMPUTED_VALUE"""),32796.0)</f>
        <v>32796</v>
      </c>
    </row>
    <row r="1496">
      <c r="A1496" s="3">
        <f>IFERROR(__xludf.DUMMYFUNCTION("""COMPUTED_VALUE"""),492899.0)</f>
        <v>492899</v>
      </c>
    </row>
    <row r="1497">
      <c r="A1497" s="3">
        <f>IFERROR(__xludf.DUMMYFUNCTION("""COMPUTED_VALUE"""),65051.0)</f>
        <v>65051</v>
      </c>
    </row>
    <row r="1498">
      <c r="A1498" s="3">
        <f>IFERROR(__xludf.DUMMYFUNCTION("""COMPUTED_VALUE"""),716000.0)</f>
        <v>716000</v>
      </c>
    </row>
    <row r="1499">
      <c r="A1499" s="3">
        <f>IFERROR(__xludf.DUMMYFUNCTION("""COMPUTED_VALUE"""),8623.0)</f>
        <v>8623</v>
      </c>
    </row>
    <row r="1500">
      <c r="A1500" s="3">
        <f>IFERROR(__xludf.DUMMYFUNCTION("""COMPUTED_VALUE"""),24414.0)</f>
        <v>24414</v>
      </c>
    </row>
    <row r="1501">
      <c r="A1501" s="3">
        <f>IFERROR(__xludf.DUMMYFUNCTION("""COMPUTED_VALUE"""),984306.0)</f>
        <v>984306</v>
      </c>
    </row>
    <row r="1502">
      <c r="A1502" s="3">
        <f>IFERROR(__xludf.DUMMYFUNCTION("""COMPUTED_VALUE"""),920124.0)</f>
        <v>920124</v>
      </c>
    </row>
    <row r="1503">
      <c r="A1503" s="3">
        <f>IFERROR(__xludf.DUMMYFUNCTION("""COMPUTED_VALUE"""),22892.0)</f>
        <v>22892</v>
      </c>
    </row>
    <row r="1504">
      <c r="A1504" s="3">
        <f>IFERROR(__xludf.DUMMYFUNCTION("""COMPUTED_VALUE"""),982170.0)</f>
        <v>982170</v>
      </c>
    </row>
    <row r="1505">
      <c r="A1505" s="3">
        <f>IFERROR(__xludf.DUMMYFUNCTION("""COMPUTED_VALUE"""),671997.0)</f>
        <v>671997</v>
      </c>
    </row>
    <row r="1506">
      <c r="A1506" s="3">
        <f>IFERROR(__xludf.DUMMYFUNCTION("""COMPUTED_VALUE"""),1388485.0)</f>
        <v>1388485</v>
      </c>
    </row>
    <row r="1507">
      <c r="A1507" s="3">
        <f>IFERROR(__xludf.DUMMYFUNCTION("""COMPUTED_VALUE"""),4.0)</f>
        <v>4</v>
      </c>
    </row>
    <row r="1508">
      <c r="A1508" s="3">
        <f>IFERROR(__xludf.DUMMYFUNCTION("""COMPUTED_VALUE"""),726953.0)</f>
        <v>726953</v>
      </c>
    </row>
    <row r="1509">
      <c r="A1509" s="3">
        <f>IFERROR(__xludf.DUMMYFUNCTION("""COMPUTED_VALUE"""),1677629.0)</f>
        <v>1677629</v>
      </c>
    </row>
    <row r="1510">
      <c r="A1510" s="3">
        <f>IFERROR(__xludf.DUMMYFUNCTION("""COMPUTED_VALUE"""),20788.0)</f>
        <v>20788</v>
      </c>
    </row>
    <row r="1511">
      <c r="A1511" s="3">
        <f>IFERROR(__xludf.DUMMYFUNCTION("""COMPUTED_VALUE"""),117467.0)</f>
        <v>117467</v>
      </c>
    </row>
    <row r="1512">
      <c r="A1512" s="3">
        <f>IFERROR(__xludf.DUMMYFUNCTION("""COMPUTED_VALUE"""),468499.0)</f>
        <v>468499</v>
      </c>
    </row>
    <row r="1513">
      <c r="A1513" s="3">
        <f>IFERROR(__xludf.DUMMYFUNCTION("""COMPUTED_VALUE"""),27269.0)</f>
        <v>27269</v>
      </c>
    </row>
    <row r="1514">
      <c r="A1514" s="3">
        <f>IFERROR(__xludf.DUMMYFUNCTION("""COMPUTED_VALUE"""),13152.0)</f>
        <v>13152</v>
      </c>
    </row>
    <row r="1515">
      <c r="A1515" s="3">
        <f>IFERROR(__xludf.DUMMYFUNCTION("""COMPUTED_VALUE"""),51846.0)</f>
        <v>51846</v>
      </c>
    </row>
    <row r="1516">
      <c r="A1516" s="3">
        <f>IFERROR(__xludf.DUMMYFUNCTION("""COMPUTED_VALUE"""),18750.0)</f>
        <v>18750</v>
      </c>
    </row>
    <row r="1517">
      <c r="A1517" s="3">
        <f>IFERROR(__xludf.DUMMYFUNCTION("""COMPUTED_VALUE"""),50659.0)</f>
        <v>50659</v>
      </c>
    </row>
    <row r="1518">
      <c r="A1518" s="3">
        <f>IFERROR(__xludf.DUMMYFUNCTION("""COMPUTED_VALUE"""),559098.0)</f>
        <v>559098</v>
      </c>
    </row>
    <row r="1519">
      <c r="A1519" s="3">
        <f>IFERROR(__xludf.DUMMYFUNCTION("""COMPUTED_VALUE"""),41676.0)</f>
        <v>41676</v>
      </c>
    </row>
    <row r="1520">
      <c r="A1520" s="3">
        <f>IFERROR(__xludf.DUMMYFUNCTION("""COMPUTED_VALUE"""),38526.0)</f>
        <v>38526</v>
      </c>
    </row>
    <row r="1521">
      <c r="A1521" s="3">
        <f>IFERROR(__xludf.DUMMYFUNCTION("""COMPUTED_VALUE"""),23253.0)</f>
        <v>23253</v>
      </c>
    </row>
    <row r="1522">
      <c r="A1522" s="3">
        <f>IFERROR(__xludf.DUMMYFUNCTION("""COMPUTED_VALUE"""),30014.0)</f>
        <v>30014</v>
      </c>
    </row>
    <row r="1523">
      <c r="A1523" s="3">
        <f>IFERROR(__xludf.DUMMYFUNCTION("""COMPUTED_VALUE"""),540737.0)</f>
        <v>540737</v>
      </c>
    </row>
    <row r="1524">
      <c r="A1524" s="3">
        <f>IFERROR(__xludf.DUMMYFUNCTION("""COMPUTED_VALUE"""),22904.0)</f>
        <v>22904</v>
      </c>
    </row>
    <row r="1525">
      <c r="A1525" s="3">
        <f>IFERROR(__xludf.DUMMYFUNCTION("""COMPUTED_VALUE"""),2460.0)</f>
        <v>2460</v>
      </c>
    </row>
    <row r="1526">
      <c r="A1526" s="3">
        <f>IFERROR(__xludf.DUMMYFUNCTION("""COMPUTED_VALUE"""),658975.0)</f>
        <v>658975</v>
      </c>
    </row>
    <row r="1527">
      <c r="A1527" s="3">
        <f>IFERROR(__xludf.DUMMYFUNCTION("""COMPUTED_VALUE"""),20891.0)</f>
        <v>20891</v>
      </c>
    </row>
    <row r="1528">
      <c r="A1528" s="3">
        <f>IFERROR(__xludf.DUMMYFUNCTION("""COMPUTED_VALUE"""),30039.0)</f>
        <v>30039</v>
      </c>
    </row>
    <row r="1529">
      <c r="A1529" s="3">
        <f>IFERROR(__xludf.DUMMYFUNCTION("""COMPUTED_VALUE"""),16147.0)</f>
        <v>16147</v>
      </c>
    </row>
    <row r="1530">
      <c r="A1530" s="3">
        <f>IFERROR(__xludf.DUMMYFUNCTION("""COMPUTED_VALUE"""),421223.0)</f>
        <v>421223</v>
      </c>
    </row>
    <row r="1531">
      <c r="A1531" s="3">
        <f>IFERROR(__xludf.DUMMYFUNCTION("""COMPUTED_VALUE"""),472340.0)</f>
        <v>472340</v>
      </c>
    </row>
    <row r="1532">
      <c r="A1532" s="3">
        <f>IFERROR(__xludf.DUMMYFUNCTION("""COMPUTED_VALUE"""),277519.0)</f>
        <v>277519</v>
      </c>
    </row>
    <row r="1533">
      <c r="A1533" s="3">
        <f>IFERROR(__xludf.DUMMYFUNCTION("""COMPUTED_VALUE"""),318228.0)</f>
        <v>318228</v>
      </c>
    </row>
    <row r="1534">
      <c r="A1534" s="3">
        <f>IFERROR(__xludf.DUMMYFUNCTION("""COMPUTED_VALUE"""),730679.0)</f>
        <v>730679</v>
      </c>
    </row>
    <row r="1535">
      <c r="A1535" s="3">
        <f>IFERROR(__xludf.DUMMYFUNCTION("""COMPUTED_VALUE"""),31533.0)</f>
        <v>31533</v>
      </c>
    </row>
    <row r="1536">
      <c r="A1536" s="3">
        <f>IFERROR(__xludf.DUMMYFUNCTION("""COMPUTED_VALUE"""),10295.0)</f>
        <v>10295</v>
      </c>
    </row>
    <row r="1537">
      <c r="A1537" s="3">
        <f>IFERROR(__xludf.DUMMYFUNCTION("""COMPUTED_VALUE"""),438266.0)</f>
        <v>438266</v>
      </c>
    </row>
    <row r="1538">
      <c r="A1538" s="3">
        <f>IFERROR(__xludf.DUMMYFUNCTION("""COMPUTED_VALUE"""),37616.0)</f>
        <v>37616</v>
      </c>
    </row>
    <row r="1539">
      <c r="A1539" s="3">
        <f>IFERROR(__xludf.DUMMYFUNCTION("""COMPUTED_VALUE"""),53.0)</f>
        <v>53</v>
      </c>
    </row>
    <row r="1540">
      <c r="A1540" s="3">
        <f>IFERROR(__xludf.DUMMYFUNCTION("""COMPUTED_VALUE"""),55566.0)</f>
        <v>55566</v>
      </c>
    </row>
    <row r="1541">
      <c r="A1541" s="3">
        <f>IFERROR(__xludf.DUMMYFUNCTION("""COMPUTED_VALUE"""),18570.0)</f>
        <v>18570</v>
      </c>
    </row>
    <row r="1542">
      <c r="A1542" s="3">
        <f>IFERROR(__xludf.DUMMYFUNCTION("""COMPUTED_VALUE"""),29.0)</f>
        <v>29</v>
      </c>
    </row>
    <row r="1543">
      <c r="A1543" s="3">
        <f>IFERROR(__xludf.DUMMYFUNCTION("""COMPUTED_VALUE"""),207368.0)</f>
        <v>207368</v>
      </c>
    </row>
    <row r="1544">
      <c r="A1544" s="3">
        <f>IFERROR(__xludf.DUMMYFUNCTION("""COMPUTED_VALUE"""),35563.0)</f>
        <v>35563</v>
      </c>
    </row>
    <row r="1545">
      <c r="A1545" s="3">
        <f>IFERROR(__xludf.DUMMYFUNCTION("""COMPUTED_VALUE"""),64.0)</f>
        <v>64</v>
      </c>
    </row>
    <row r="1546">
      <c r="A1546" s="3">
        <f>IFERROR(__xludf.DUMMYFUNCTION("""COMPUTED_VALUE"""),23500.0)</f>
        <v>23500</v>
      </c>
    </row>
    <row r="1547">
      <c r="A1547" s="3">
        <f>IFERROR(__xludf.DUMMYFUNCTION("""COMPUTED_VALUE"""),423155.0)</f>
        <v>423155</v>
      </c>
    </row>
    <row r="1548">
      <c r="A1548" s="3">
        <f>IFERROR(__xludf.DUMMYFUNCTION("""COMPUTED_VALUE"""),84698.0)</f>
        <v>84698</v>
      </c>
    </row>
    <row r="1549">
      <c r="A1549" s="3">
        <f>IFERROR(__xludf.DUMMYFUNCTION("""COMPUTED_VALUE"""),540810.0)</f>
        <v>540810</v>
      </c>
    </row>
    <row r="1550">
      <c r="A1550" s="3">
        <f>IFERROR(__xludf.DUMMYFUNCTION("""COMPUTED_VALUE"""),615475.0)</f>
        <v>615475</v>
      </c>
    </row>
    <row r="1551">
      <c r="A1551" s="3">
        <f>IFERROR(__xludf.DUMMYFUNCTION("""COMPUTED_VALUE"""),600676.0)</f>
        <v>600676</v>
      </c>
    </row>
    <row r="1552">
      <c r="A1552" s="3">
        <f>IFERROR(__xludf.DUMMYFUNCTION("""COMPUTED_VALUE"""),21457.0)</f>
        <v>21457</v>
      </c>
    </row>
    <row r="1553">
      <c r="A1553" s="3">
        <f>IFERROR(__xludf.DUMMYFUNCTION("""COMPUTED_VALUE"""),2010.0)</f>
        <v>2010</v>
      </c>
    </row>
    <row r="1554">
      <c r="A1554" s="3">
        <f>IFERROR(__xludf.DUMMYFUNCTION("""COMPUTED_VALUE"""),79.0)</f>
        <v>79</v>
      </c>
    </row>
    <row r="1555">
      <c r="A1555" s="3">
        <f>IFERROR(__xludf.DUMMYFUNCTION("""COMPUTED_VALUE"""),155.0)</f>
        <v>155</v>
      </c>
    </row>
    <row r="1556">
      <c r="A1556" s="3">
        <f>IFERROR(__xludf.DUMMYFUNCTION("""COMPUTED_VALUE"""),681045.0)</f>
        <v>681045</v>
      </c>
    </row>
    <row r="1557">
      <c r="A1557" s="3">
        <f>IFERROR(__xludf.DUMMYFUNCTION("""COMPUTED_VALUE"""),1932460.0)</f>
        <v>1932460</v>
      </c>
    </row>
    <row r="1558">
      <c r="A1558" s="3">
        <f>IFERROR(__xludf.DUMMYFUNCTION("""COMPUTED_VALUE"""),24722.0)</f>
        <v>24722</v>
      </c>
    </row>
    <row r="1559">
      <c r="A1559" s="3">
        <f>IFERROR(__xludf.DUMMYFUNCTION("""COMPUTED_VALUE"""),18036.0)</f>
        <v>18036</v>
      </c>
    </row>
    <row r="1560">
      <c r="A1560" s="3">
        <f>IFERROR(__xludf.DUMMYFUNCTION("""COMPUTED_VALUE"""),191655.0)</f>
        <v>191655</v>
      </c>
    </row>
    <row r="1561">
      <c r="A1561" s="3">
        <f>IFERROR(__xludf.DUMMYFUNCTION("""COMPUTED_VALUE"""),8922.0)</f>
        <v>8922</v>
      </c>
    </row>
    <row r="1562">
      <c r="A1562" s="3">
        <f>IFERROR(__xludf.DUMMYFUNCTION("""COMPUTED_VALUE"""),73.0)</f>
        <v>73</v>
      </c>
    </row>
    <row r="1563">
      <c r="A1563" s="3">
        <f>IFERROR(__xludf.DUMMYFUNCTION("""COMPUTED_VALUE"""),11.0)</f>
        <v>11</v>
      </c>
    </row>
    <row r="1564">
      <c r="A1564" s="3">
        <f>IFERROR(__xludf.DUMMYFUNCTION("""COMPUTED_VALUE"""),36266.0)</f>
        <v>36266</v>
      </c>
    </row>
    <row r="1565">
      <c r="A1565" s="3">
        <f>IFERROR(__xludf.DUMMYFUNCTION("""COMPUTED_VALUE"""),20633.0)</f>
        <v>20633</v>
      </c>
    </row>
    <row r="1566">
      <c r="A1566" s="3">
        <f>IFERROR(__xludf.DUMMYFUNCTION("""COMPUTED_VALUE"""),40195.0)</f>
        <v>40195</v>
      </c>
    </row>
    <row r="1567">
      <c r="A1567" s="3">
        <f>IFERROR(__xludf.DUMMYFUNCTION("""COMPUTED_VALUE"""),59632.0)</f>
        <v>59632</v>
      </c>
    </row>
    <row r="1568">
      <c r="A1568" s="3">
        <f>IFERROR(__xludf.DUMMYFUNCTION("""COMPUTED_VALUE"""),552686.0)</f>
        <v>552686</v>
      </c>
    </row>
    <row r="1569">
      <c r="A1569" s="3">
        <f>IFERROR(__xludf.DUMMYFUNCTION("""COMPUTED_VALUE"""),386492.0)</f>
        <v>386492</v>
      </c>
    </row>
    <row r="1570">
      <c r="A1570" s="3">
        <f>IFERROR(__xludf.DUMMYFUNCTION("""COMPUTED_VALUE"""),73405.0)</f>
        <v>73405</v>
      </c>
    </row>
    <row r="1571">
      <c r="A1571" s="3">
        <f>IFERROR(__xludf.DUMMYFUNCTION("""COMPUTED_VALUE"""),376209.0)</f>
        <v>376209</v>
      </c>
    </row>
    <row r="1572">
      <c r="A1572" s="3">
        <f>IFERROR(__xludf.DUMMYFUNCTION("""COMPUTED_VALUE"""),397707.0)</f>
        <v>397707</v>
      </c>
    </row>
    <row r="1573">
      <c r="A1573" s="3">
        <f>IFERROR(__xludf.DUMMYFUNCTION("""COMPUTED_VALUE"""),686743.0)</f>
        <v>686743</v>
      </c>
    </row>
    <row r="1574">
      <c r="A1574" s="3">
        <f>IFERROR(__xludf.DUMMYFUNCTION("""COMPUTED_VALUE"""),13356.0)</f>
        <v>13356</v>
      </c>
    </row>
    <row r="1575">
      <c r="A1575" s="3">
        <f>IFERROR(__xludf.DUMMYFUNCTION("""COMPUTED_VALUE"""),50905.0)</f>
        <v>50905</v>
      </c>
    </row>
    <row r="1576">
      <c r="A1576" s="3">
        <f>IFERROR(__xludf.DUMMYFUNCTION("""COMPUTED_VALUE"""),196999.0)</f>
        <v>196999</v>
      </c>
    </row>
    <row r="1577">
      <c r="A1577" s="3">
        <f>IFERROR(__xludf.DUMMYFUNCTION("""COMPUTED_VALUE"""),634621.0)</f>
        <v>634621</v>
      </c>
    </row>
    <row r="1578">
      <c r="A1578" s="3">
        <f>IFERROR(__xludf.DUMMYFUNCTION("""COMPUTED_VALUE"""),241760.0)</f>
        <v>241760</v>
      </c>
    </row>
    <row r="1579">
      <c r="A1579" s="3">
        <f>IFERROR(__xludf.DUMMYFUNCTION("""COMPUTED_VALUE"""),12434.0)</f>
        <v>12434</v>
      </c>
    </row>
    <row r="1580">
      <c r="A1580" s="3">
        <f>IFERROR(__xludf.DUMMYFUNCTION("""COMPUTED_VALUE"""),600487.0)</f>
        <v>600487</v>
      </c>
    </row>
    <row r="1581">
      <c r="A1581" s="3">
        <f>IFERROR(__xludf.DUMMYFUNCTION("""COMPUTED_VALUE"""),11471.0)</f>
        <v>11471</v>
      </c>
    </row>
    <row r="1582">
      <c r="A1582" s="3">
        <f>IFERROR(__xludf.DUMMYFUNCTION("""COMPUTED_VALUE"""),656800.0)</f>
        <v>656800</v>
      </c>
    </row>
    <row r="1583">
      <c r="A1583" s="3">
        <f>IFERROR(__xludf.DUMMYFUNCTION("""COMPUTED_VALUE"""),50905.0)</f>
        <v>50905</v>
      </c>
    </row>
    <row r="1584">
      <c r="A1584" s="3">
        <f>IFERROR(__xludf.DUMMYFUNCTION("""COMPUTED_VALUE"""),65207.0)</f>
        <v>65207</v>
      </c>
    </row>
    <row r="1585">
      <c r="A1585" s="3">
        <f>IFERROR(__xludf.DUMMYFUNCTION("""COMPUTED_VALUE"""),563464.0)</f>
        <v>563464</v>
      </c>
    </row>
    <row r="1586">
      <c r="A1586" s="3">
        <f>IFERROR(__xludf.DUMMYFUNCTION("""COMPUTED_VALUE"""),82.0)</f>
        <v>82</v>
      </c>
    </row>
    <row r="1587">
      <c r="A1587" s="3">
        <f>IFERROR(__xludf.DUMMYFUNCTION("""COMPUTED_VALUE"""),324419.0)</f>
        <v>324419</v>
      </c>
    </row>
    <row r="1588">
      <c r="A1588" s="3">
        <f>IFERROR(__xludf.DUMMYFUNCTION("""COMPUTED_VALUE"""),26191.0)</f>
        <v>26191</v>
      </c>
    </row>
    <row r="1589">
      <c r="A1589" s="3">
        <f>IFERROR(__xludf.DUMMYFUNCTION("""COMPUTED_VALUE"""),16438.0)</f>
        <v>16438</v>
      </c>
    </row>
    <row r="1590">
      <c r="A1590" s="3">
        <f>IFERROR(__xludf.DUMMYFUNCTION("""COMPUTED_VALUE"""),216827.0)</f>
        <v>216827</v>
      </c>
    </row>
    <row r="1591">
      <c r="A1591" s="3">
        <f>IFERROR(__xludf.DUMMYFUNCTION("""COMPUTED_VALUE"""),20965.0)</f>
        <v>20965</v>
      </c>
    </row>
    <row r="1592">
      <c r="A1592" s="3">
        <f>IFERROR(__xludf.DUMMYFUNCTION("""COMPUTED_VALUE"""),624783.0)</f>
        <v>624783</v>
      </c>
    </row>
    <row r="1593">
      <c r="A1593" s="3">
        <f>IFERROR(__xludf.DUMMYFUNCTION("""COMPUTED_VALUE"""),479366.0)</f>
        <v>479366</v>
      </c>
    </row>
    <row r="1594">
      <c r="A1594" s="3">
        <f>IFERROR(__xludf.DUMMYFUNCTION("""COMPUTED_VALUE"""),527930.0)</f>
        <v>527930</v>
      </c>
    </row>
    <row r="1595">
      <c r="A1595" s="3">
        <f>IFERROR(__xludf.DUMMYFUNCTION("""COMPUTED_VALUE"""),24791.0)</f>
        <v>24791</v>
      </c>
    </row>
    <row r="1596">
      <c r="A1596" s="3">
        <f>IFERROR(__xludf.DUMMYFUNCTION("""COMPUTED_VALUE"""),400745.0)</f>
        <v>400745</v>
      </c>
    </row>
    <row r="1597">
      <c r="A1597" s="3">
        <f>IFERROR(__xludf.DUMMYFUNCTION("""COMPUTED_VALUE"""),495265.0)</f>
        <v>495265</v>
      </c>
    </row>
    <row r="1598">
      <c r="A1598" s="3">
        <f>IFERROR(__xludf.DUMMYFUNCTION("""COMPUTED_VALUE"""),513986.0)</f>
        <v>513986</v>
      </c>
    </row>
    <row r="1599">
      <c r="A1599" s="3">
        <f>IFERROR(__xludf.DUMMYFUNCTION("""COMPUTED_VALUE"""),1532909.0)</f>
        <v>1532909</v>
      </c>
    </row>
    <row r="1600">
      <c r="A1600" s="3">
        <f>IFERROR(__xludf.DUMMYFUNCTION("""COMPUTED_VALUE"""),29013.0)</f>
        <v>29013</v>
      </c>
    </row>
    <row r="1601">
      <c r="A1601" s="3">
        <f>IFERROR(__xludf.DUMMYFUNCTION("""COMPUTED_VALUE"""),1273952.0)</f>
        <v>1273952</v>
      </c>
    </row>
    <row r="1602">
      <c r="A1602" s="3">
        <f>IFERROR(__xludf.DUMMYFUNCTION("""COMPUTED_VALUE"""),377686.0)</f>
        <v>377686</v>
      </c>
    </row>
    <row r="1603">
      <c r="A1603" s="3">
        <f>IFERROR(__xludf.DUMMYFUNCTION("""COMPUTED_VALUE"""),242324.0)</f>
        <v>242324</v>
      </c>
    </row>
    <row r="1604">
      <c r="A1604" s="3">
        <f>IFERROR(__xludf.DUMMYFUNCTION("""COMPUTED_VALUE"""),407376.0)</f>
        <v>407376</v>
      </c>
    </row>
    <row r="1605">
      <c r="A1605" s="3">
        <f>IFERROR(__xludf.DUMMYFUNCTION("""COMPUTED_VALUE"""),564107.0)</f>
        <v>564107</v>
      </c>
    </row>
    <row r="1606">
      <c r="A1606" s="3">
        <f>IFERROR(__xludf.DUMMYFUNCTION("""COMPUTED_VALUE"""),902901.0)</f>
        <v>902901</v>
      </c>
    </row>
    <row r="1607">
      <c r="A1607" s="3">
        <f>IFERROR(__xludf.DUMMYFUNCTION("""COMPUTED_VALUE"""),470717.0)</f>
        <v>470717</v>
      </c>
    </row>
    <row r="1608">
      <c r="A1608" s="3">
        <f>IFERROR(__xludf.DUMMYFUNCTION("""COMPUTED_VALUE"""),1198941.0)</f>
        <v>1198941</v>
      </c>
    </row>
    <row r="1609">
      <c r="A1609" s="3">
        <f>IFERROR(__xludf.DUMMYFUNCTION("""COMPUTED_VALUE"""),15500.0)</f>
        <v>15500</v>
      </c>
    </row>
    <row r="1610">
      <c r="A1610" s="3">
        <f>IFERROR(__xludf.DUMMYFUNCTION("""COMPUTED_VALUE"""),388898.0)</f>
        <v>388898</v>
      </c>
    </row>
    <row r="1611">
      <c r="A1611" s="3">
        <f>IFERROR(__xludf.DUMMYFUNCTION("""COMPUTED_VALUE"""),976617.0)</f>
        <v>976617</v>
      </c>
    </row>
    <row r="1612">
      <c r="A1612" s="3">
        <f>IFERROR(__xludf.DUMMYFUNCTION("""COMPUTED_VALUE"""),30897.0)</f>
        <v>30897</v>
      </c>
    </row>
    <row r="1613">
      <c r="A1613" s="3">
        <f>IFERROR(__xludf.DUMMYFUNCTION("""COMPUTED_VALUE"""),27511.0)</f>
        <v>27511</v>
      </c>
    </row>
    <row r="1614">
      <c r="A1614" s="3">
        <f>IFERROR(__xludf.DUMMYFUNCTION("""COMPUTED_VALUE"""),82.0)</f>
        <v>82</v>
      </c>
    </row>
    <row r="1615">
      <c r="A1615" s="3">
        <f>IFERROR(__xludf.DUMMYFUNCTION("""COMPUTED_VALUE"""),640566.0)</f>
        <v>640566</v>
      </c>
    </row>
    <row r="1616">
      <c r="A1616" s="3">
        <f>IFERROR(__xludf.DUMMYFUNCTION("""COMPUTED_VALUE"""),1139417.0)</f>
        <v>1139417</v>
      </c>
    </row>
    <row r="1617">
      <c r="A1617" s="3">
        <f>IFERROR(__xludf.DUMMYFUNCTION("""COMPUTED_VALUE"""),658529.0)</f>
        <v>658529</v>
      </c>
    </row>
    <row r="1618">
      <c r="A1618" s="3">
        <f>IFERROR(__xludf.DUMMYFUNCTION("""COMPUTED_VALUE"""),681356.0)</f>
        <v>681356</v>
      </c>
    </row>
    <row r="1619">
      <c r="A1619" s="3">
        <f>IFERROR(__xludf.DUMMYFUNCTION("""COMPUTED_VALUE"""),662645.0)</f>
        <v>662645</v>
      </c>
    </row>
    <row r="1620">
      <c r="A1620" s="3">
        <f>IFERROR(__xludf.DUMMYFUNCTION("""COMPUTED_VALUE"""),914961.0)</f>
        <v>914961</v>
      </c>
    </row>
    <row r="1621">
      <c r="A1621" s="3">
        <f>IFERROR(__xludf.DUMMYFUNCTION("""COMPUTED_VALUE"""),30049.0)</f>
        <v>30049</v>
      </c>
    </row>
    <row r="1622">
      <c r="A1622" s="3">
        <f>IFERROR(__xludf.DUMMYFUNCTION("""COMPUTED_VALUE"""),33627.0)</f>
        <v>33627</v>
      </c>
    </row>
    <row r="1623">
      <c r="A1623" s="3">
        <f>IFERROR(__xludf.DUMMYFUNCTION("""COMPUTED_VALUE"""),1205626.0)</f>
        <v>1205626</v>
      </c>
    </row>
    <row r="1624">
      <c r="A1624" s="3">
        <f>IFERROR(__xludf.DUMMYFUNCTION("""COMPUTED_VALUE"""),452137.0)</f>
        <v>452137</v>
      </c>
    </row>
    <row r="1625">
      <c r="A1625" s="3">
        <f>IFERROR(__xludf.DUMMYFUNCTION("""COMPUTED_VALUE"""),8866.0)</f>
        <v>8866</v>
      </c>
    </row>
    <row r="1626">
      <c r="A1626" s="3">
        <f>IFERROR(__xludf.DUMMYFUNCTION("""COMPUTED_VALUE"""),366514.0)</f>
        <v>366514</v>
      </c>
    </row>
    <row r="1627">
      <c r="A1627" s="3">
        <f>IFERROR(__xludf.DUMMYFUNCTION("""COMPUTED_VALUE"""),437781.0)</f>
        <v>437781</v>
      </c>
    </row>
    <row r="1628">
      <c r="A1628" s="3">
        <f>IFERROR(__xludf.DUMMYFUNCTION("""COMPUTED_VALUE"""),711350.0)</f>
        <v>711350</v>
      </c>
    </row>
    <row r="1629">
      <c r="A1629" s="3">
        <f>IFERROR(__xludf.DUMMYFUNCTION("""COMPUTED_VALUE"""),1072842.0)</f>
        <v>1072842</v>
      </c>
    </row>
    <row r="1630">
      <c r="A1630" s="3">
        <f>IFERROR(__xludf.DUMMYFUNCTION("""COMPUTED_VALUE"""),69.0)</f>
        <v>69</v>
      </c>
    </row>
    <row r="1631">
      <c r="A1631" s="3">
        <f>IFERROR(__xludf.DUMMYFUNCTION("""COMPUTED_VALUE"""),735354.0)</f>
        <v>735354</v>
      </c>
    </row>
    <row r="1632">
      <c r="A1632" s="3">
        <f>IFERROR(__xludf.DUMMYFUNCTION("""COMPUTED_VALUE"""),743209.0)</f>
        <v>743209</v>
      </c>
    </row>
    <row r="1633">
      <c r="A1633" s="3">
        <f>IFERROR(__xludf.DUMMYFUNCTION("""COMPUTED_VALUE"""),509802.0)</f>
        <v>509802</v>
      </c>
    </row>
    <row r="1634">
      <c r="A1634" s="3">
        <f>IFERROR(__xludf.DUMMYFUNCTION("""COMPUTED_VALUE"""),588637.0)</f>
        <v>588637</v>
      </c>
    </row>
    <row r="1635">
      <c r="A1635" s="3">
        <f>IFERROR(__xludf.DUMMYFUNCTION("""COMPUTED_VALUE"""),71465.0)</f>
        <v>71465</v>
      </c>
    </row>
    <row r="1636">
      <c r="A1636" s="3">
        <f>IFERROR(__xludf.DUMMYFUNCTION("""COMPUTED_VALUE"""),443020.0)</f>
        <v>443020</v>
      </c>
    </row>
    <row r="1637">
      <c r="A1637" s="3">
        <f>IFERROR(__xludf.DUMMYFUNCTION("""COMPUTED_VALUE"""),311470.0)</f>
        <v>311470</v>
      </c>
    </row>
    <row r="1638">
      <c r="A1638" s="3">
        <f>IFERROR(__xludf.DUMMYFUNCTION("""COMPUTED_VALUE"""),41922.0)</f>
        <v>41922</v>
      </c>
    </row>
    <row r="1639">
      <c r="A1639" s="3">
        <f>IFERROR(__xludf.DUMMYFUNCTION("""COMPUTED_VALUE"""),430475.0)</f>
        <v>430475</v>
      </c>
    </row>
    <row r="1640">
      <c r="A1640" s="3">
        <f>IFERROR(__xludf.DUMMYFUNCTION("""COMPUTED_VALUE"""),1123734.0)</f>
        <v>1123734</v>
      </c>
    </row>
    <row r="1641">
      <c r="A1641" s="3">
        <f>IFERROR(__xludf.DUMMYFUNCTION("""COMPUTED_VALUE"""),616488.0)</f>
        <v>616488</v>
      </c>
    </row>
    <row r="1642">
      <c r="A1642" s="3">
        <f>IFERROR(__xludf.DUMMYFUNCTION("""COMPUTED_VALUE"""),186983.0)</f>
        <v>186983</v>
      </c>
    </row>
    <row r="1643">
      <c r="A1643" s="3">
        <f>IFERROR(__xludf.DUMMYFUNCTION("""COMPUTED_VALUE"""),458425.0)</f>
        <v>458425</v>
      </c>
    </row>
    <row r="1644">
      <c r="A1644" s="3">
        <f>IFERROR(__xludf.DUMMYFUNCTION("""COMPUTED_VALUE"""),180440.0)</f>
        <v>180440</v>
      </c>
    </row>
    <row r="1645">
      <c r="A1645" s="3">
        <f>IFERROR(__xludf.DUMMYFUNCTION("""COMPUTED_VALUE"""),861090.0)</f>
        <v>861090</v>
      </c>
    </row>
    <row r="1646">
      <c r="A1646" s="3">
        <f>IFERROR(__xludf.DUMMYFUNCTION("""COMPUTED_VALUE"""),83197.0)</f>
        <v>83197</v>
      </c>
    </row>
    <row r="1647">
      <c r="A1647" s="3">
        <f>IFERROR(__xludf.DUMMYFUNCTION("""COMPUTED_VALUE"""),625884.0)</f>
        <v>625884</v>
      </c>
    </row>
    <row r="1648">
      <c r="A1648" s="3">
        <f>IFERROR(__xludf.DUMMYFUNCTION("""COMPUTED_VALUE"""),43295.0)</f>
        <v>43295</v>
      </c>
    </row>
    <row r="1649">
      <c r="A1649" s="3">
        <f>IFERROR(__xludf.DUMMYFUNCTION("""COMPUTED_VALUE"""),1263.0)</f>
        <v>1263</v>
      </c>
    </row>
    <row r="1650">
      <c r="A1650" s="3">
        <f>IFERROR(__xludf.DUMMYFUNCTION("""COMPUTED_VALUE"""),136137.0)</f>
        <v>136137</v>
      </c>
    </row>
    <row r="1651">
      <c r="A1651" s="3">
        <f>IFERROR(__xludf.DUMMYFUNCTION("""COMPUTED_VALUE"""),633866.0)</f>
        <v>633866</v>
      </c>
    </row>
    <row r="1652">
      <c r="A1652" s="3">
        <f>IFERROR(__xludf.DUMMYFUNCTION("""COMPUTED_VALUE"""),900229.0)</f>
        <v>900229</v>
      </c>
    </row>
    <row r="1653">
      <c r="A1653" s="3">
        <f>IFERROR(__xludf.DUMMYFUNCTION("""COMPUTED_VALUE"""),28221.0)</f>
        <v>28221</v>
      </c>
    </row>
    <row r="1654">
      <c r="A1654" s="3">
        <f>IFERROR(__xludf.DUMMYFUNCTION("""COMPUTED_VALUE"""),23876.0)</f>
        <v>23876</v>
      </c>
    </row>
    <row r="1655">
      <c r="A1655" s="3">
        <f>IFERROR(__xludf.DUMMYFUNCTION("""COMPUTED_VALUE"""),9434.0)</f>
        <v>9434</v>
      </c>
    </row>
    <row r="1656">
      <c r="A1656" s="3">
        <f>IFERROR(__xludf.DUMMYFUNCTION("""COMPUTED_VALUE"""),23663.0)</f>
        <v>23663</v>
      </c>
    </row>
    <row r="1657">
      <c r="A1657" s="3">
        <f>IFERROR(__xludf.DUMMYFUNCTION("""COMPUTED_VALUE"""),188777.0)</f>
        <v>188777</v>
      </c>
    </row>
    <row r="1658">
      <c r="A1658" s="3">
        <f>IFERROR(__xludf.DUMMYFUNCTION("""COMPUTED_VALUE"""),28103.0)</f>
        <v>28103</v>
      </c>
    </row>
    <row r="1659">
      <c r="A1659" s="3">
        <f>IFERROR(__xludf.DUMMYFUNCTION("""COMPUTED_VALUE"""),375807.0)</f>
        <v>375807</v>
      </c>
    </row>
    <row r="1660">
      <c r="A1660" s="3">
        <f>IFERROR(__xludf.DUMMYFUNCTION("""COMPUTED_VALUE"""),8.0)</f>
        <v>8</v>
      </c>
    </row>
    <row r="1661">
      <c r="A1661" s="3">
        <f>IFERROR(__xludf.DUMMYFUNCTION("""COMPUTED_VALUE"""),17496.0)</f>
        <v>17496</v>
      </c>
    </row>
    <row r="1662">
      <c r="A1662" s="3">
        <f>IFERROR(__xludf.DUMMYFUNCTION("""COMPUTED_VALUE"""),23871.0)</f>
        <v>23871</v>
      </c>
    </row>
    <row r="1663">
      <c r="A1663" s="3">
        <f>IFERROR(__xludf.DUMMYFUNCTION("""COMPUTED_VALUE"""),61083.0)</f>
        <v>61083</v>
      </c>
    </row>
    <row r="1664">
      <c r="A1664" s="3">
        <f>IFERROR(__xludf.DUMMYFUNCTION("""COMPUTED_VALUE"""),73055.0)</f>
        <v>73055</v>
      </c>
    </row>
    <row r="1665">
      <c r="A1665" s="3">
        <f>IFERROR(__xludf.DUMMYFUNCTION("""COMPUTED_VALUE"""),51646.0)</f>
        <v>51646</v>
      </c>
    </row>
    <row r="1666">
      <c r="A1666" s="3">
        <f>IFERROR(__xludf.DUMMYFUNCTION("""COMPUTED_VALUE"""),235128.0)</f>
        <v>235128</v>
      </c>
    </row>
    <row r="1667">
      <c r="A1667" s="3">
        <f>IFERROR(__xludf.DUMMYFUNCTION("""COMPUTED_VALUE"""),1138712.0)</f>
        <v>1138712</v>
      </c>
    </row>
    <row r="1668">
      <c r="A1668" s="3">
        <f>IFERROR(__xludf.DUMMYFUNCTION("""COMPUTED_VALUE"""),508113.0)</f>
        <v>508113</v>
      </c>
    </row>
    <row r="1669">
      <c r="A1669" s="3">
        <f>IFERROR(__xludf.DUMMYFUNCTION("""COMPUTED_VALUE"""),245265.0)</f>
        <v>245265</v>
      </c>
    </row>
    <row r="1670">
      <c r="A1670" s="3">
        <f>IFERROR(__xludf.DUMMYFUNCTION("""COMPUTED_VALUE"""),72.0)</f>
        <v>72</v>
      </c>
    </row>
    <row r="1671">
      <c r="A1671" s="3">
        <f>IFERROR(__xludf.DUMMYFUNCTION("""COMPUTED_VALUE"""),186475.0)</f>
        <v>186475</v>
      </c>
    </row>
    <row r="1672">
      <c r="A1672" s="3">
        <f>IFERROR(__xludf.DUMMYFUNCTION("""COMPUTED_VALUE"""),35460.0)</f>
        <v>35460</v>
      </c>
    </row>
    <row r="1673">
      <c r="A1673" s="3">
        <f>IFERROR(__xludf.DUMMYFUNCTION("""COMPUTED_VALUE"""),237117.0)</f>
        <v>237117</v>
      </c>
    </row>
    <row r="1674">
      <c r="A1674" s="3">
        <f>IFERROR(__xludf.DUMMYFUNCTION("""COMPUTED_VALUE"""),28000.0)</f>
        <v>28000</v>
      </c>
    </row>
    <row r="1675">
      <c r="A1675" s="3">
        <f>IFERROR(__xludf.DUMMYFUNCTION("""COMPUTED_VALUE"""),367898.0)</f>
        <v>367898</v>
      </c>
    </row>
    <row r="1676">
      <c r="A1676" s="3">
        <f>IFERROR(__xludf.DUMMYFUNCTION("""COMPUTED_VALUE"""),1262223.0)</f>
        <v>1262223</v>
      </c>
    </row>
    <row r="1677">
      <c r="A1677" s="3">
        <f>IFERROR(__xludf.DUMMYFUNCTION("""COMPUTED_VALUE"""),20234.0)</f>
        <v>20234</v>
      </c>
    </row>
    <row r="1678">
      <c r="A1678" s="3">
        <f>IFERROR(__xludf.DUMMYFUNCTION("""COMPUTED_VALUE"""),35.0)</f>
        <v>35</v>
      </c>
    </row>
    <row r="1679">
      <c r="A1679" s="3">
        <f>IFERROR(__xludf.DUMMYFUNCTION("""COMPUTED_VALUE"""),182.0)</f>
        <v>182</v>
      </c>
    </row>
    <row r="1680">
      <c r="A1680" s="3">
        <f>IFERROR(__xludf.DUMMYFUNCTION("""COMPUTED_VALUE"""),39072.0)</f>
        <v>39072</v>
      </c>
    </row>
    <row r="1681">
      <c r="A1681" s="3">
        <f>IFERROR(__xludf.DUMMYFUNCTION("""COMPUTED_VALUE"""),10814.0)</f>
        <v>10814</v>
      </c>
    </row>
    <row r="1682">
      <c r="A1682" s="3">
        <f>IFERROR(__xludf.DUMMYFUNCTION("""COMPUTED_VALUE"""),15540.0)</f>
        <v>15540</v>
      </c>
    </row>
    <row r="1683">
      <c r="A1683" s="3">
        <f>IFERROR(__xludf.DUMMYFUNCTION("""COMPUTED_VALUE"""),517757.0)</f>
        <v>517757</v>
      </c>
    </row>
    <row r="1684">
      <c r="A1684" s="3">
        <f>IFERROR(__xludf.DUMMYFUNCTION("""COMPUTED_VALUE"""),23443.0)</f>
        <v>23443</v>
      </c>
    </row>
    <row r="1685">
      <c r="A1685" s="3">
        <f>IFERROR(__xludf.DUMMYFUNCTION("""COMPUTED_VALUE"""),52456.0)</f>
        <v>52456</v>
      </c>
    </row>
    <row r="1686">
      <c r="A1686" s="3">
        <f>IFERROR(__xludf.DUMMYFUNCTION("""COMPUTED_VALUE"""),778606.0)</f>
        <v>778606</v>
      </c>
    </row>
    <row r="1687">
      <c r="A1687" s="3">
        <f>IFERROR(__xludf.DUMMYFUNCTION("""COMPUTED_VALUE"""),232105.0)</f>
        <v>232105</v>
      </c>
    </row>
    <row r="1688">
      <c r="A1688" s="3">
        <f>IFERROR(__xludf.DUMMYFUNCTION("""COMPUTED_VALUE"""),455550.0)</f>
        <v>455550</v>
      </c>
    </row>
    <row r="1689">
      <c r="A1689" s="3">
        <f>IFERROR(__xludf.DUMMYFUNCTION("""COMPUTED_VALUE"""),83.0)</f>
        <v>83</v>
      </c>
    </row>
    <row r="1690">
      <c r="A1690" s="3">
        <f>IFERROR(__xludf.DUMMYFUNCTION("""COMPUTED_VALUE"""),451451.0)</f>
        <v>451451</v>
      </c>
    </row>
    <row r="1691">
      <c r="A1691" s="3">
        <f>IFERROR(__xludf.DUMMYFUNCTION("""COMPUTED_VALUE"""),268721.0)</f>
        <v>268721</v>
      </c>
    </row>
    <row r="1692">
      <c r="A1692" s="3">
        <f>IFERROR(__xludf.DUMMYFUNCTION("""COMPUTED_VALUE"""),2063.0)</f>
        <v>2063</v>
      </c>
    </row>
    <row r="1693">
      <c r="A1693" s="3">
        <f>IFERROR(__xludf.DUMMYFUNCTION("""COMPUTED_VALUE"""),1976461.0)</f>
        <v>1976461</v>
      </c>
    </row>
    <row r="1694">
      <c r="A1694" s="3">
        <f>IFERROR(__xludf.DUMMYFUNCTION("""COMPUTED_VALUE"""),691840.0)</f>
        <v>691840</v>
      </c>
    </row>
    <row r="1695">
      <c r="A1695" s="3">
        <f>IFERROR(__xludf.DUMMYFUNCTION("""COMPUTED_VALUE"""),518419.0)</f>
        <v>518419</v>
      </c>
    </row>
    <row r="1696">
      <c r="A1696" s="3">
        <f>IFERROR(__xludf.DUMMYFUNCTION("""COMPUTED_VALUE"""),901815.0)</f>
        <v>901815</v>
      </c>
    </row>
    <row r="1697">
      <c r="A1697" s="3">
        <f>IFERROR(__xludf.DUMMYFUNCTION("""COMPUTED_VALUE"""),196834.0)</f>
        <v>196834</v>
      </c>
    </row>
    <row r="1698">
      <c r="A1698" s="3">
        <f>IFERROR(__xludf.DUMMYFUNCTION("""COMPUTED_VALUE"""),134.0)</f>
        <v>134</v>
      </c>
    </row>
    <row r="1699">
      <c r="A1699" s="3">
        <f>IFERROR(__xludf.DUMMYFUNCTION("""COMPUTED_VALUE"""),36956.0)</f>
        <v>36956</v>
      </c>
    </row>
    <row r="1700">
      <c r="A1700" s="3">
        <f>IFERROR(__xludf.DUMMYFUNCTION("""COMPUTED_VALUE"""),468.0)</f>
        <v>468</v>
      </c>
    </row>
    <row r="1701">
      <c r="A1701" s="3">
        <f>IFERROR(__xludf.DUMMYFUNCTION("""COMPUTED_VALUE"""),290315.0)</f>
        <v>290315</v>
      </c>
    </row>
    <row r="1702">
      <c r="A1702" s="3">
        <f>IFERROR(__xludf.DUMMYFUNCTION("""COMPUTED_VALUE"""),24004.0)</f>
        <v>24004</v>
      </c>
    </row>
    <row r="1703">
      <c r="A1703" s="3">
        <f>IFERROR(__xludf.DUMMYFUNCTION("""COMPUTED_VALUE"""),14126.0)</f>
        <v>14126</v>
      </c>
    </row>
    <row r="1704">
      <c r="A1704" s="3">
        <f>IFERROR(__xludf.DUMMYFUNCTION("""COMPUTED_VALUE"""),522547.0)</f>
        <v>522547</v>
      </c>
    </row>
    <row r="1705">
      <c r="A1705" s="3">
        <f>IFERROR(__xludf.DUMMYFUNCTION("""COMPUTED_VALUE"""),5.0)</f>
        <v>5</v>
      </c>
    </row>
    <row r="1706">
      <c r="A1706" s="3">
        <f>IFERROR(__xludf.DUMMYFUNCTION("""COMPUTED_VALUE"""),29560.0)</f>
        <v>29560</v>
      </c>
    </row>
    <row r="1707">
      <c r="A1707" s="3">
        <f>IFERROR(__xludf.DUMMYFUNCTION("""COMPUTED_VALUE"""),18326.0)</f>
        <v>18326</v>
      </c>
    </row>
    <row r="1708">
      <c r="A1708" s="3">
        <f>IFERROR(__xludf.DUMMYFUNCTION("""COMPUTED_VALUE"""),221675.0)</f>
        <v>221675</v>
      </c>
    </row>
    <row r="1709">
      <c r="A1709" s="3">
        <f>IFERROR(__xludf.DUMMYFUNCTION("""COMPUTED_VALUE"""),45404.0)</f>
        <v>45404</v>
      </c>
    </row>
    <row r="1710">
      <c r="A1710" s="3">
        <f>IFERROR(__xludf.DUMMYFUNCTION("""COMPUTED_VALUE"""),207194.0)</f>
        <v>207194</v>
      </c>
    </row>
    <row r="1711">
      <c r="A1711" s="3">
        <f>IFERROR(__xludf.DUMMYFUNCTION("""COMPUTED_VALUE"""),381856.0)</f>
        <v>381856</v>
      </c>
    </row>
    <row r="1712">
      <c r="A1712" s="3">
        <f>IFERROR(__xludf.DUMMYFUNCTION("""COMPUTED_VALUE"""),42760.0)</f>
        <v>42760</v>
      </c>
    </row>
    <row r="1713">
      <c r="A1713" s="3">
        <f>IFERROR(__xludf.DUMMYFUNCTION("""COMPUTED_VALUE"""),3.0)</f>
        <v>3</v>
      </c>
    </row>
    <row r="1714">
      <c r="A1714" s="3">
        <f>IFERROR(__xludf.DUMMYFUNCTION("""COMPUTED_VALUE"""),31447.0)</f>
        <v>31447</v>
      </c>
    </row>
    <row r="1715">
      <c r="A1715" s="3">
        <f>IFERROR(__xludf.DUMMYFUNCTION("""COMPUTED_VALUE"""),230043.0)</f>
        <v>230043</v>
      </c>
    </row>
    <row r="1716">
      <c r="A1716" s="3">
        <f>IFERROR(__xludf.DUMMYFUNCTION("""COMPUTED_VALUE"""),91.0)</f>
        <v>91</v>
      </c>
    </row>
    <row r="1717">
      <c r="A1717" s="3">
        <f>IFERROR(__xludf.DUMMYFUNCTION("""COMPUTED_VALUE"""),602557.0)</f>
        <v>602557</v>
      </c>
    </row>
    <row r="1718">
      <c r="A1718" s="3">
        <f>IFERROR(__xludf.DUMMYFUNCTION("""COMPUTED_VALUE"""),414214.0)</f>
        <v>414214</v>
      </c>
    </row>
    <row r="1719">
      <c r="A1719" s="3">
        <f>IFERROR(__xludf.DUMMYFUNCTION("""COMPUTED_VALUE"""),635113.0)</f>
        <v>635113</v>
      </c>
    </row>
    <row r="1720">
      <c r="A1720" s="3">
        <f>IFERROR(__xludf.DUMMYFUNCTION("""COMPUTED_VALUE"""),711651.0)</f>
        <v>711651</v>
      </c>
    </row>
    <row r="1721">
      <c r="A1721" s="3">
        <f>IFERROR(__xludf.DUMMYFUNCTION("""COMPUTED_VALUE"""),670089.0)</f>
        <v>670089</v>
      </c>
    </row>
    <row r="1722">
      <c r="A1722" s="3">
        <f>IFERROR(__xludf.DUMMYFUNCTION("""COMPUTED_VALUE"""),500434.0)</f>
        <v>500434</v>
      </c>
    </row>
    <row r="1723">
      <c r="A1723" s="3">
        <f>IFERROR(__xludf.DUMMYFUNCTION("""COMPUTED_VALUE"""),960000.0)</f>
        <v>960000</v>
      </c>
    </row>
    <row r="1724">
      <c r="A1724" s="3">
        <f>IFERROR(__xludf.DUMMYFUNCTION("""COMPUTED_VALUE"""),594768.0)</f>
        <v>594768</v>
      </c>
    </row>
    <row r="1725">
      <c r="A1725" s="3">
        <f>IFERROR(__xludf.DUMMYFUNCTION("""COMPUTED_VALUE"""),134.0)</f>
        <v>134</v>
      </c>
    </row>
    <row r="1726">
      <c r="A1726" s="3">
        <f>IFERROR(__xludf.DUMMYFUNCTION("""COMPUTED_VALUE"""),601029.0)</f>
        <v>601029</v>
      </c>
    </row>
    <row r="1727">
      <c r="A1727" s="3">
        <f>IFERROR(__xludf.DUMMYFUNCTION("""COMPUTED_VALUE"""),449332.0)</f>
        <v>449332</v>
      </c>
    </row>
    <row r="1728">
      <c r="A1728" s="3">
        <f>IFERROR(__xludf.DUMMYFUNCTION("""COMPUTED_VALUE"""),456591.0)</f>
        <v>456591</v>
      </c>
    </row>
    <row r="1729">
      <c r="A1729" s="3">
        <f>IFERROR(__xludf.DUMMYFUNCTION("""COMPUTED_VALUE"""),525749.0)</f>
        <v>525749</v>
      </c>
    </row>
    <row r="1730">
      <c r="A1730" s="3">
        <f>IFERROR(__xludf.DUMMYFUNCTION("""COMPUTED_VALUE"""),593140.0)</f>
        <v>593140</v>
      </c>
    </row>
    <row r="1731">
      <c r="A1731" s="3">
        <f>IFERROR(__xludf.DUMMYFUNCTION("""COMPUTED_VALUE"""),484519.0)</f>
        <v>484519</v>
      </c>
    </row>
    <row r="1732">
      <c r="A1732" s="3">
        <f>IFERROR(__xludf.DUMMYFUNCTION("""COMPUTED_VALUE"""),566735.0)</f>
        <v>566735</v>
      </c>
    </row>
    <row r="1733">
      <c r="A1733" s="3">
        <f>IFERROR(__xludf.DUMMYFUNCTION("""COMPUTED_VALUE"""),401435.0)</f>
        <v>401435</v>
      </c>
    </row>
    <row r="1734">
      <c r="A1734" s="3">
        <f>IFERROR(__xludf.DUMMYFUNCTION("""COMPUTED_VALUE"""),602693.0)</f>
        <v>602693</v>
      </c>
    </row>
    <row r="1735">
      <c r="A1735" s="3">
        <f>IFERROR(__xludf.DUMMYFUNCTION("""COMPUTED_VALUE"""),340679.0)</f>
        <v>340679</v>
      </c>
    </row>
    <row r="1736">
      <c r="A1736" s="3">
        <f>IFERROR(__xludf.DUMMYFUNCTION("""COMPUTED_VALUE"""),712674.0)</f>
        <v>712674</v>
      </c>
    </row>
    <row r="1737">
      <c r="A1737" s="3">
        <f>IFERROR(__xludf.DUMMYFUNCTION("""COMPUTED_VALUE"""),351668.0)</f>
        <v>351668</v>
      </c>
    </row>
    <row r="1738">
      <c r="A1738" s="3">
        <f>IFERROR(__xludf.DUMMYFUNCTION("""COMPUTED_VALUE"""),928492.0)</f>
        <v>928492</v>
      </c>
    </row>
    <row r="1739">
      <c r="A1739" s="3">
        <f>IFERROR(__xludf.DUMMYFUNCTION("""COMPUTED_VALUE"""),397330.0)</f>
        <v>397330</v>
      </c>
    </row>
    <row r="1740">
      <c r="A1740" s="3">
        <f>IFERROR(__xludf.DUMMYFUNCTION("""COMPUTED_VALUE"""),19.0)</f>
        <v>19</v>
      </c>
    </row>
    <row r="1741">
      <c r="A1741" s="3">
        <f>IFERROR(__xludf.DUMMYFUNCTION("""COMPUTED_VALUE"""),731213.0)</f>
        <v>731213</v>
      </c>
    </row>
    <row r="1742">
      <c r="A1742" s="3">
        <f>IFERROR(__xludf.DUMMYFUNCTION("""COMPUTED_VALUE"""),726809.0)</f>
        <v>726809</v>
      </c>
    </row>
    <row r="1743">
      <c r="A1743" s="3">
        <f>IFERROR(__xludf.DUMMYFUNCTION("""COMPUTED_VALUE"""),89248.0)</f>
        <v>89248</v>
      </c>
    </row>
    <row r="1744">
      <c r="A1744" s="3">
        <f>IFERROR(__xludf.DUMMYFUNCTION("""COMPUTED_VALUE"""),509210.0)</f>
        <v>509210</v>
      </c>
    </row>
    <row r="1745">
      <c r="A1745" s="3">
        <f>IFERROR(__xludf.DUMMYFUNCTION("""COMPUTED_VALUE"""),400410.0)</f>
        <v>400410</v>
      </c>
    </row>
    <row r="1746">
      <c r="A1746" s="3">
        <f>IFERROR(__xludf.DUMMYFUNCTION("""COMPUTED_VALUE"""),680894.0)</f>
        <v>680894</v>
      </c>
    </row>
    <row r="1747">
      <c r="A1747" s="3">
        <f>IFERROR(__xludf.DUMMYFUNCTION("""COMPUTED_VALUE"""),17.0)</f>
        <v>17</v>
      </c>
    </row>
    <row r="1748">
      <c r="A1748" s="3">
        <f>IFERROR(__xludf.DUMMYFUNCTION("""COMPUTED_VALUE"""),1401954.0)</f>
        <v>1401954</v>
      </c>
    </row>
    <row r="1749">
      <c r="A1749" s="3">
        <f>IFERROR(__xludf.DUMMYFUNCTION("""COMPUTED_VALUE"""),261907.0)</f>
        <v>261907</v>
      </c>
    </row>
    <row r="1750">
      <c r="A1750" s="3">
        <f>IFERROR(__xludf.DUMMYFUNCTION("""COMPUTED_VALUE"""),538846.0)</f>
        <v>538846</v>
      </c>
    </row>
    <row r="1751">
      <c r="A1751" s="3">
        <f>IFERROR(__xludf.DUMMYFUNCTION("""COMPUTED_VALUE"""),311449.0)</f>
        <v>311449</v>
      </c>
    </row>
    <row r="1752">
      <c r="A1752" s="3">
        <f>IFERROR(__xludf.DUMMYFUNCTION("""COMPUTED_VALUE"""),32910.0)</f>
        <v>32910</v>
      </c>
    </row>
    <row r="1753">
      <c r="A1753" s="3">
        <f>IFERROR(__xludf.DUMMYFUNCTION("""COMPUTED_VALUE"""),25200.0)</f>
        <v>25200</v>
      </c>
    </row>
    <row r="1754">
      <c r="A1754" s="3">
        <f>IFERROR(__xludf.DUMMYFUNCTION("""COMPUTED_VALUE"""),1324095.0)</f>
        <v>1324095</v>
      </c>
    </row>
    <row r="1755">
      <c r="A1755" s="3">
        <f>IFERROR(__xludf.DUMMYFUNCTION("""COMPUTED_VALUE"""),545756.0)</f>
        <v>545756</v>
      </c>
    </row>
    <row r="1756">
      <c r="A1756" s="3">
        <f>IFERROR(__xludf.DUMMYFUNCTION("""COMPUTED_VALUE"""),43356.0)</f>
        <v>43356</v>
      </c>
    </row>
    <row r="1757">
      <c r="A1757" s="3">
        <f>IFERROR(__xludf.DUMMYFUNCTION("""COMPUTED_VALUE"""),101501.0)</f>
        <v>101501</v>
      </c>
    </row>
    <row r="1758">
      <c r="A1758" s="3">
        <f>IFERROR(__xludf.DUMMYFUNCTION("""COMPUTED_VALUE"""),664286.0)</f>
        <v>664286</v>
      </c>
    </row>
    <row r="1759">
      <c r="A1759" s="3">
        <f>IFERROR(__xludf.DUMMYFUNCTION("""COMPUTED_VALUE"""),544387.0)</f>
        <v>544387</v>
      </c>
    </row>
    <row r="1760">
      <c r="A1760" s="3">
        <f>IFERROR(__xludf.DUMMYFUNCTION("""COMPUTED_VALUE"""),36577.0)</f>
        <v>36577</v>
      </c>
    </row>
    <row r="1761">
      <c r="A1761" s="3">
        <f>IFERROR(__xludf.DUMMYFUNCTION("""COMPUTED_VALUE"""),309194.0)</f>
        <v>309194</v>
      </c>
    </row>
    <row r="1762">
      <c r="A1762" s="3">
        <f>IFERROR(__xludf.DUMMYFUNCTION("""COMPUTED_VALUE"""),537613.0)</f>
        <v>537613</v>
      </c>
    </row>
    <row r="1763">
      <c r="A1763" s="3">
        <f>IFERROR(__xludf.DUMMYFUNCTION("""COMPUTED_VALUE"""),484238.0)</f>
        <v>484238</v>
      </c>
    </row>
    <row r="1764">
      <c r="A1764" s="3">
        <f>IFERROR(__xludf.DUMMYFUNCTION("""COMPUTED_VALUE"""),1177000.0)</f>
        <v>1177000</v>
      </c>
    </row>
    <row r="1765">
      <c r="A1765" s="3">
        <f>IFERROR(__xludf.DUMMYFUNCTION("""COMPUTED_VALUE"""),541.0)</f>
        <v>541</v>
      </c>
    </row>
    <row r="1766">
      <c r="A1766" s="3">
        <f>IFERROR(__xludf.DUMMYFUNCTION("""COMPUTED_VALUE"""),498630.0)</f>
        <v>498630</v>
      </c>
    </row>
    <row r="1767">
      <c r="A1767" s="3">
        <f>IFERROR(__xludf.DUMMYFUNCTION("""COMPUTED_VALUE"""),363231.0)</f>
        <v>363231</v>
      </c>
    </row>
    <row r="1768">
      <c r="A1768" s="3">
        <f>IFERROR(__xludf.DUMMYFUNCTION("""COMPUTED_VALUE"""),1119076.0)</f>
        <v>1119076</v>
      </c>
    </row>
    <row r="1769">
      <c r="A1769" s="3">
        <f>IFERROR(__xludf.DUMMYFUNCTION("""COMPUTED_VALUE"""),23358.0)</f>
        <v>23358</v>
      </c>
    </row>
    <row r="1770">
      <c r="A1770" s="3">
        <f>IFERROR(__xludf.DUMMYFUNCTION("""COMPUTED_VALUE"""),20509.0)</f>
        <v>20509</v>
      </c>
    </row>
    <row r="1771">
      <c r="A1771" s="3">
        <f>IFERROR(__xludf.DUMMYFUNCTION("""COMPUTED_VALUE"""),1130085.0)</f>
        <v>1130085</v>
      </c>
    </row>
    <row r="1772">
      <c r="A1772" s="3">
        <f>IFERROR(__xludf.DUMMYFUNCTION("""COMPUTED_VALUE"""),594543.0)</f>
        <v>594543</v>
      </c>
    </row>
    <row r="1773">
      <c r="A1773" s="3">
        <f>IFERROR(__xludf.DUMMYFUNCTION("""COMPUTED_VALUE"""),604847.0)</f>
        <v>604847</v>
      </c>
    </row>
    <row r="1774">
      <c r="A1774" s="3">
        <f>IFERROR(__xludf.DUMMYFUNCTION("""COMPUTED_VALUE"""),865056.0)</f>
        <v>865056</v>
      </c>
    </row>
    <row r="1775">
      <c r="A1775" s="3">
        <f>IFERROR(__xludf.DUMMYFUNCTION("""COMPUTED_VALUE"""),30254.0)</f>
        <v>30254</v>
      </c>
    </row>
    <row r="1776">
      <c r="A1776" s="3">
        <f>IFERROR(__xludf.DUMMYFUNCTION("""COMPUTED_VALUE"""),600558.0)</f>
        <v>600558</v>
      </c>
    </row>
    <row r="1777">
      <c r="A1777" s="3">
        <f>IFERROR(__xludf.DUMMYFUNCTION("""COMPUTED_VALUE"""),66840.0)</f>
        <v>66840</v>
      </c>
    </row>
    <row r="1778">
      <c r="A1778" s="3">
        <f>IFERROR(__xludf.DUMMYFUNCTION("""COMPUTED_VALUE"""),778493.0)</f>
        <v>778493</v>
      </c>
    </row>
    <row r="1779">
      <c r="A1779" s="3">
        <f>IFERROR(__xludf.DUMMYFUNCTION("""COMPUTED_VALUE"""),654510.0)</f>
        <v>654510</v>
      </c>
    </row>
    <row r="1780">
      <c r="A1780" s="3">
        <f>IFERROR(__xludf.DUMMYFUNCTION("""COMPUTED_VALUE"""),878070.0)</f>
        <v>878070</v>
      </c>
    </row>
    <row r="1781">
      <c r="A1781" s="3">
        <f>IFERROR(__xludf.DUMMYFUNCTION("""COMPUTED_VALUE"""),51929.0)</f>
        <v>51929</v>
      </c>
    </row>
    <row r="1782">
      <c r="A1782" s="3">
        <f>IFERROR(__xludf.DUMMYFUNCTION("""COMPUTED_VALUE"""),293232.0)</f>
        <v>293232</v>
      </c>
    </row>
    <row r="1783">
      <c r="A1783" s="3">
        <f>IFERROR(__xludf.DUMMYFUNCTION("""COMPUTED_VALUE"""),27726.0)</f>
        <v>27726</v>
      </c>
    </row>
    <row r="1784">
      <c r="A1784" s="3">
        <f>IFERROR(__xludf.DUMMYFUNCTION("""COMPUTED_VALUE"""),310144.0)</f>
        <v>310144</v>
      </c>
    </row>
    <row r="1785">
      <c r="A1785" s="3">
        <f>IFERROR(__xludf.DUMMYFUNCTION("""COMPUTED_VALUE"""),602345.0)</f>
        <v>602345</v>
      </c>
    </row>
    <row r="1786">
      <c r="A1786" s="3">
        <f>IFERROR(__xludf.DUMMYFUNCTION("""COMPUTED_VALUE"""),690924.0)</f>
        <v>690924</v>
      </c>
    </row>
    <row r="1787">
      <c r="A1787" s="3">
        <f>IFERROR(__xludf.DUMMYFUNCTION("""COMPUTED_VALUE"""),625157.0)</f>
        <v>625157</v>
      </c>
    </row>
    <row r="1788">
      <c r="A1788" s="3">
        <f>IFERROR(__xludf.DUMMYFUNCTION("""COMPUTED_VALUE"""),390283.0)</f>
        <v>390283</v>
      </c>
    </row>
    <row r="1789">
      <c r="A1789" s="3">
        <f>IFERROR(__xludf.DUMMYFUNCTION("""COMPUTED_VALUE"""),21984.0)</f>
        <v>21984</v>
      </c>
    </row>
    <row r="1790">
      <c r="A1790" s="3">
        <f>IFERROR(__xludf.DUMMYFUNCTION("""COMPUTED_VALUE"""),1151955.0)</f>
        <v>1151955</v>
      </c>
    </row>
    <row r="1791">
      <c r="A1791" s="3">
        <f>IFERROR(__xludf.DUMMYFUNCTION("""COMPUTED_VALUE"""),10037.0)</f>
        <v>10037</v>
      </c>
    </row>
    <row r="1792">
      <c r="A1792" s="3">
        <f>IFERROR(__xludf.DUMMYFUNCTION("""COMPUTED_VALUE"""),409648.0)</f>
        <v>409648</v>
      </c>
    </row>
    <row r="1793">
      <c r="A1793" s="3">
        <f>IFERROR(__xludf.DUMMYFUNCTION("""COMPUTED_VALUE"""),551047.0)</f>
        <v>551047</v>
      </c>
    </row>
    <row r="1794">
      <c r="A1794" s="3">
        <f>IFERROR(__xludf.DUMMYFUNCTION("""COMPUTED_VALUE"""),418078.0)</f>
        <v>418078</v>
      </c>
    </row>
    <row r="1795">
      <c r="A1795" s="3">
        <f>IFERROR(__xludf.DUMMYFUNCTION("""COMPUTED_VALUE"""),343758.0)</f>
        <v>343758</v>
      </c>
    </row>
    <row r="1796">
      <c r="A1796" s="3">
        <f>IFERROR(__xludf.DUMMYFUNCTION("""COMPUTED_VALUE"""),532302.0)</f>
        <v>532302</v>
      </c>
    </row>
    <row r="1797">
      <c r="A1797" s="3">
        <f>IFERROR(__xludf.DUMMYFUNCTION("""COMPUTED_VALUE"""),363669.0)</f>
        <v>363669</v>
      </c>
    </row>
    <row r="1798">
      <c r="A1798" s="3">
        <f>IFERROR(__xludf.DUMMYFUNCTION("""COMPUTED_VALUE"""),577190.0)</f>
        <v>577190</v>
      </c>
    </row>
    <row r="1799">
      <c r="A1799" s="3">
        <f>IFERROR(__xludf.DUMMYFUNCTION("""COMPUTED_VALUE"""),332016.0)</f>
        <v>332016</v>
      </c>
    </row>
    <row r="1800">
      <c r="A1800" s="3">
        <f>IFERROR(__xludf.DUMMYFUNCTION("""COMPUTED_VALUE"""),3.0)</f>
        <v>3</v>
      </c>
    </row>
    <row r="1801">
      <c r="A1801" s="3">
        <f>IFERROR(__xludf.DUMMYFUNCTION("""COMPUTED_VALUE"""),26.0)</f>
        <v>26</v>
      </c>
    </row>
    <row r="1802">
      <c r="A1802" s="3">
        <f>IFERROR(__xludf.DUMMYFUNCTION("""COMPUTED_VALUE"""),602739.0)</f>
        <v>602739</v>
      </c>
    </row>
    <row r="1803">
      <c r="A1803" s="3">
        <f>IFERROR(__xludf.DUMMYFUNCTION("""COMPUTED_VALUE"""),582124.0)</f>
        <v>582124</v>
      </c>
    </row>
    <row r="1804">
      <c r="A1804" s="3">
        <f>IFERROR(__xludf.DUMMYFUNCTION("""COMPUTED_VALUE"""),16789.0)</f>
        <v>16789</v>
      </c>
    </row>
    <row r="1805">
      <c r="A1805" s="3">
        <f>IFERROR(__xludf.DUMMYFUNCTION("""COMPUTED_VALUE"""),760403.0)</f>
        <v>760403</v>
      </c>
    </row>
    <row r="1806">
      <c r="A1806" s="3">
        <f>IFERROR(__xludf.DUMMYFUNCTION("""COMPUTED_VALUE"""),80616.0)</f>
        <v>80616</v>
      </c>
    </row>
    <row r="1807">
      <c r="A1807" s="3">
        <f>IFERROR(__xludf.DUMMYFUNCTION("""COMPUTED_VALUE"""),61899.0)</f>
        <v>61899</v>
      </c>
    </row>
    <row r="1808">
      <c r="A1808" s="3">
        <f>IFERROR(__xludf.DUMMYFUNCTION("""COMPUTED_VALUE"""),47054.0)</f>
        <v>47054</v>
      </c>
    </row>
    <row r="1809">
      <c r="A1809" s="3">
        <f>IFERROR(__xludf.DUMMYFUNCTION("""COMPUTED_VALUE"""),91.0)</f>
        <v>91</v>
      </c>
    </row>
    <row r="1810">
      <c r="A1810" s="3">
        <f>IFERROR(__xludf.DUMMYFUNCTION("""COMPUTED_VALUE"""),369128.0)</f>
        <v>369128</v>
      </c>
    </row>
    <row r="1811">
      <c r="A1811" s="3">
        <f>IFERROR(__xludf.DUMMYFUNCTION("""COMPUTED_VALUE"""),257972.0)</f>
        <v>257972</v>
      </c>
    </row>
    <row r="1812">
      <c r="A1812" s="3">
        <f>IFERROR(__xludf.DUMMYFUNCTION("""COMPUTED_VALUE"""),1087991.0)</f>
        <v>1087991</v>
      </c>
    </row>
    <row r="1813">
      <c r="A1813" s="3">
        <f>IFERROR(__xludf.DUMMYFUNCTION("""COMPUTED_VALUE"""),878372.0)</f>
        <v>878372</v>
      </c>
    </row>
    <row r="1814">
      <c r="A1814" s="3">
        <f>IFERROR(__xludf.DUMMYFUNCTION("""COMPUTED_VALUE"""),28507.0)</f>
        <v>28507</v>
      </c>
    </row>
    <row r="1815">
      <c r="A1815" s="3">
        <f>IFERROR(__xludf.DUMMYFUNCTION("""COMPUTED_VALUE"""),335520.0)</f>
        <v>335520</v>
      </c>
    </row>
    <row r="1816">
      <c r="A1816" s="3">
        <f>IFERROR(__xludf.DUMMYFUNCTION("""COMPUTED_VALUE"""),432100.0)</f>
        <v>432100</v>
      </c>
    </row>
    <row r="1817">
      <c r="A1817" s="3">
        <f>IFERROR(__xludf.DUMMYFUNCTION("""COMPUTED_VALUE"""),275453.0)</f>
        <v>275453</v>
      </c>
    </row>
    <row r="1818">
      <c r="A1818" s="3">
        <f>IFERROR(__xludf.DUMMYFUNCTION("""COMPUTED_VALUE"""),880573.0)</f>
        <v>880573</v>
      </c>
    </row>
    <row r="1819">
      <c r="A1819" s="3">
        <f>IFERROR(__xludf.DUMMYFUNCTION("""COMPUTED_VALUE"""),80.0)</f>
        <v>80</v>
      </c>
    </row>
    <row r="1820">
      <c r="A1820" s="3">
        <f>IFERROR(__xludf.DUMMYFUNCTION("""COMPUTED_VALUE"""),1640740.0)</f>
        <v>1640740</v>
      </c>
    </row>
    <row r="1821">
      <c r="A1821" s="3">
        <f>IFERROR(__xludf.DUMMYFUNCTION("""COMPUTED_VALUE"""),75.0)</f>
        <v>75</v>
      </c>
    </row>
    <row r="1822">
      <c r="A1822" s="3">
        <f>IFERROR(__xludf.DUMMYFUNCTION("""COMPUTED_VALUE"""),40552.0)</f>
        <v>40552</v>
      </c>
    </row>
    <row r="1823">
      <c r="A1823" s="3">
        <f>IFERROR(__xludf.DUMMYFUNCTION("""COMPUTED_VALUE"""),299998.0)</f>
        <v>299998</v>
      </c>
    </row>
    <row r="1824">
      <c r="A1824" s="3">
        <f>IFERROR(__xludf.DUMMYFUNCTION("""COMPUTED_VALUE"""),28233.0)</f>
        <v>28233</v>
      </c>
    </row>
    <row r="1825">
      <c r="A1825" s="3">
        <f>IFERROR(__xludf.DUMMYFUNCTION("""COMPUTED_VALUE"""),544512.0)</f>
        <v>544512</v>
      </c>
    </row>
    <row r="1826">
      <c r="A1826" s="3">
        <f>IFERROR(__xludf.DUMMYFUNCTION("""COMPUTED_VALUE"""),406845.0)</f>
        <v>406845</v>
      </c>
    </row>
    <row r="1827">
      <c r="A1827" s="3">
        <f>IFERROR(__xludf.DUMMYFUNCTION("""COMPUTED_VALUE"""),811344.0)</f>
        <v>811344</v>
      </c>
    </row>
    <row r="1828">
      <c r="A1828" s="3">
        <f>IFERROR(__xludf.DUMMYFUNCTION("""COMPUTED_VALUE"""),34532.0)</f>
        <v>34532</v>
      </c>
    </row>
    <row r="1829">
      <c r="A1829" s="3">
        <f>IFERROR(__xludf.DUMMYFUNCTION("""COMPUTED_VALUE"""),559952.0)</f>
        <v>559952</v>
      </c>
    </row>
    <row r="1830">
      <c r="A1830" s="3">
        <f>IFERROR(__xludf.DUMMYFUNCTION("""COMPUTED_VALUE"""),178.0)</f>
        <v>178</v>
      </c>
    </row>
    <row r="1831">
      <c r="A1831" s="3">
        <f>IFERROR(__xludf.DUMMYFUNCTION("""COMPUTED_VALUE"""),744945.0)</f>
        <v>744945</v>
      </c>
    </row>
    <row r="1832">
      <c r="A1832" s="3">
        <f>IFERROR(__xludf.DUMMYFUNCTION("""COMPUTED_VALUE"""),784769.0)</f>
        <v>784769</v>
      </c>
    </row>
    <row r="1833">
      <c r="A1833" s="3">
        <f>IFERROR(__xludf.DUMMYFUNCTION("""COMPUTED_VALUE"""),1239375.0)</f>
        <v>1239375</v>
      </c>
    </row>
    <row r="1834">
      <c r="A1834" s="3">
        <f>IFERROR(__xludf.DUMMYFUNCTION("""COMPUTED_VALUE"""),57107.0)</f>
        <v>57107</v>
      </c>
    </row>
    <row r="1835">
      <c r="A1835" s="3">
        <f>IFERROR(__xludf.DUMMYFUNCTION("""COMPUTED_VALUE"""),25417.0)</f>
        <v>25417</v>
      </c>
    </row>
    <row r="1836">
      <c r="A1836" s="3">
        <f>IFERROR(__xludf.DUMMYFUNCTION("""COMPUTED_VALUE"""),34370.0)</f>
        <v>34370</v>
      </c>
    </row>
    <row r="1837">
      <c r="A1837" s="3">
        <f>IFERROR(__xludf.DUMMYFUNCTION("""COMPUTED_VALUE"""),81910.0)</f>
        <v>81910</v>
      </c>
    </row>
    <row r="1838">
      <c r="A1838" s="3">
        <f>IFERROR(__xludf.DUMMYFUNCTION("""COMPUTED_VALUE"""),10653.0)</f>
        <v>10653</v>
      </c>
    </row>
    <row r="1839">
      <c r="A1839" s="3">
        <f>IFERROR(__xludf.DUMMYFUNCTION("""COMPUTED_VALUE"""),619354.0)</f>
        <v>619354</v>
      </c>
    </row>
    <row r="1840">
      <c r="A1840" s="3">
        <f>IFERROR(__xludf.DUMMYFUNCTION("""COMPUTED_VALUE"""),27035.0)</f>
        <v>27035</v>
      </c>
    </row>
    <row r="1841">
      <c r="A1841" s="3">
        <f>IFERROR(__xludf.DUMMYFUNCTION("""COMPUTED_VALUE"""),705817.0)</f>
        <v>705817</v>
      </c>
    </row>
    <row r="1842">
      <c r="A1842" s="3">
        <f>IFERROR(__xludf.DUMMYFUNCTION("""COMPUTED_VALUE"""),551148.0)</f>
        <v>551148</v>
      </c>
    </row>
    <row r="1843">
      <c r="A1843" s="3">
        <f>IFERROR(__xludf.DUMMYFUNCTION("""COMPUTED_VALUE"""),1471807.0)</f>
        <v>1471807</v>
      </c>
    </row>
    <row r="1844">
      <c r="A1844" s="3">
        <f>IFERROR(__xludf.DUMMYFUNCTION("""COMPUTED_VALUE"""),282369.0)</f>
        <v>282369</v>
      </c>
    </row>
    <row r="1845">
      <c r="A1845" s="3">
        <f>IFERROR(__xludf.DUMMYFUNCTION("""COMPUTED_VALUE"""),563136.0)</f>
        <v>563136</v>
      </c>
    </row>
    <row r="1846">
      <c r="A1846" s="3">
        <f>IFERROR(__xludf.DUMMYFUNCTION("""COMPUTED_VALUE"""),22274.0)</f>
        <v>22274</v>
      </c>
    </row>
    <row r="1847">
      <c r="A1847" s="3">
        <f>IFERROR(__xludf.DUMMYFUNCTION("""COMPUTED_VALUE"""),59604.0)</f>
        <v>59604</v>
      </c>
    </row>
    <row r="1848">
      <c r="A1848" s="3">
        <f>IFERROR(__xludf.DUMMYFUNCTION("""COMPUTED_VALUE"""),69495.0)</f>
        <v>69495</v>
      </c>
    </row>
    <row r="1849">
      <c r="A1849" s="3">
        <f>IFERROR(__xludf.DUMMYFUNCTION("""COMPUTED_VALUE"""),33957.0)</f>
        <v>33957</v>
      </c>
    </row>
    <row r="1850">
      <c r="A1850" s="3">
        <f>IFERROR(__xludf.DUMMYFUNCTION("""COMPUTED_VALUE"""),314698.0)</f>
        <v>314698</v>
      </c>
    </row>
    <row r="1851">
      <c r="A1851" s="3">
        <f>IFERROR(__xludf.DUMMYFUNCTION("""COMPUTED_VALUE"""),18335.0)</f>
        <v>18335</v>
      </c>
    </row>
    <row r="1852">
      <c r="A1852" s="3">
        <f>IFERROR(__xludf.DUMMYFUNCTION("""COMPUTED_VALUE"""),20811.0)</f>
        <v>20811</v>
      </c>
    </row>
    <row r="1853">
      <c r="A1853" s="3">
        <f>IFERROR(__xludf.DUMMYFUNCTION("""COMPUTED_VALUE"""),30846.0)</f>
        <v>30846</v>
      </c>
    </row>
    <row r="1854">
      <c r="A1854" s="3">
        <f>IFERROR(__xludf.DUMMYFUNCTION("""COMPUTED_VALUE"""),591053.0)</f>
        <v>591053</v>
      </c>
    </row>
    <row r="1855">
      <c r="A1855" s="3">
        <f>IFERROR(__xludf.DUMMYFUNCTION("""COMPUTED_VALUE"""),198811.0)</f>
        <v>198811</v>
      </c>
    </row>
    <row r="1856">
      <c r="A1856" s="3">
        <f>IFERROR(__xludf.DUMMYFUNCTION("""COMPUTED_VALUE"""),26158.0)</f>
        <v>26158</v>
      </c>
    </row>
    <row r="1857">
      <c r="A1857" s="3">
        <f>IFERROR(__xludf.DUMMYFUNCTION("""COMPUTED_VALUE"""),27805.0)</f>
        <v>27805</v>
      </c>
    </row>
    <row r="1858">
      <c r="A1858" s="3">
        <f>IFERROR(__xludf.DUMMYFUNCTION("""COMPUTED_VALUE"""),601343.0)</f>
        <v>601343</v>
      </c>
    </row>
    <row r="1859">
      <c r="A1859" s="3">
        <f>IFERROR(__xludf.DUMMYFUNCTION("""COMPUTED_VALUE"""),33111.0)</f>
        <v>33111</v>
      </c>
    </row>
    <row r="1860">
      <c r="A1860" s="3">
        <f>IFERROR(__xludf.DUMMYFUNCTION("""COMPUTED_VALUE"""),419449.0)</f>
        <v>419449</v>
      </c>
    </row>
    <row r="1861">
      <c r="A1861" s="3">
        <f>IFERROR(__xludf.DUMMYFUNCTION("""COMPUTED_VALUE"""),668202.0)</f>
        <v>668202</v>
      </c>
    </row>
    <row r="1862">
      <c r="A1862" s="3">
        <f>IFERROR(__xludf.DUMMYFUNCTION("""COMPUTED_VALUE"""),982427.0)</f>
        <v>982427</v>
      </c>
    </row>
    <row r="1863">
      <c r="A1863" s="3">
        <f>IFERROR(__xludf.DUMMYFUNCTION("""COMPUTED_VALUE"""),21088.0)</f>
        <v>21088</v>
      </c>
    </row>
    <row r="1864">
      <c r="A1864" s="3">
        <f>IFERROR(__xludf.DUMMYFUNCTION("""COMPUTED_VALUE"""),508899.0)</f>
        <v>508899</v>
      </c>
    </row>
    <row r="1865">
      <c r="A1865" s="3">
        <f>IFERROR(__xludf.DUMMYFUNCTION("""COMPUTED_VALUE"""),701723.0)</f>
        <v>701723</v>
      </c>
    </row>
    <row r="1866">
      <c r="A1866" s="3">
        <f>IFERROR(__xludf.DUMMYFUNCTION("""COMPUTED_VALUE"""),22537.0)</f>
        <v>22537</v>
      </c>
    </row>
    <row r="1867">
      <c r="A1867" s="3">
        <f>IFERROR(__xludf.DUMMYFUNCTION("""COMPUTED_VALUE"""),646107.0)</f>
        <v>646107</v>
      </c>
    </row>
    <row r="1868">
      <c r="A1868" s="3">
        <f>IFERROR(__xludf.DUMMYFUNCTION("""COMPUTED_VALUE"""),649352.0)</f>
        <v>649352</v>
      </c>
    </row>
    <row r="1869">
      <c r="A1869" s="3">
        <f>IFERROR(__xludf.DUMMYFUNCTION("""COMPUTED_VALUE"""),3084.0)</f>
        <v>3084</v>
      </c>
    </row>
    <row r="1870">
      <c r="A1870" s="3">
        <f>IFERROR(__xludf.DUMMYFUNCTION("""COMPUTED_VALUE"""),608075.0)</f>
        <v>608075</v>
      </c>
    </row>
    <row r="1871">
      <c r="A1871" s="3">
        <f>IFERROR(__xludf.DUMMYFUNCTION("""COMPUTED_VALUE"""),704851.0)</f>
        <v>704851</v>
      </c>
    </row>
    <row r="1872">
      <c r="A1872" s="3">
        <f>IFERROR(__xludf.DUMMYFUNCTION("""COMPUTED_VALUE"""),382929.0)</f>
        <v>382929</v>
      </c>
    </row>
    <row r="1873">
      <c r="A1873" s="3">
        <f>IFERROR(__xludf.DUMMYFUNCTION("""COMPUTED_VALUE"""),383619.0)</f>
        <v>383619</v>
      </c>
    </row>
    <row r="1874">
      <c r="A1874" s="3">
        <f>IFERROR(__xludf.DUMMYFUNCTION("""COMPUTED_VALUE"""),49857.0)</f>
        <v>49857</v>
      </c>
    </row>
    <row r="1875">
      <c r="A1875" s="3">
        <f>IFERROR(__xludf.DUMMYFUNCTION("""COMPUTED_VALUE"""),585819.0)</f>
        <v>585819</v>
      </c>
    </row>
    <row r="1876">
      <c r="A1876" s="3">
        <f>IFERROR(__xludf.DUMMYFUNCTION("""COMPUTED_VALUE"""),479071.0)</f>
        <v>479071</v>
      </c>
    </row>
    <row r="1877">
      <c r="A1877" s="3">
        <f>IFERROR(__xludf.DUMMYFUNCTION("""COMPUTED_VALUE"""),226724.0)</f>
        <v>226724</v>
      </c>
    </row>
    <row r="1878">
      <c r="A1878" s="3">
        <f>IFERROR(__xludf.DUMMYFUNCTION("""COMPUTED_VALUE"""),46.0)</f>
        <v>46</v>
      </c>
    </row>
    <row r="1879">
      <c r="A1879" s="3">
        <f>IFERROR(__xludf.DUMMYFUNCTION("""COMPUTED_VALUE"""),364638.0)</f>
        <v>364638</v>
      </c>
    </row>
    <row r="1880">
      <c r="A1880" s="3">
        <f>IFERROR(__xludf.DUMMYFUNCTION("""COMPUTED_VALUE"""),574259.0)</f>
        <v>574259</v>
      </c>
    </row>
    <row r="1881">
      <c r="A1881" s="3">
        <f>IFERROR(__xludf.DUMMYFUNCTION("""COMPUTED_VALUE"""),33496.0)</f>
        <v>33496</v>
      </c>
    </row>
    <row r="1882">
      <c r="A1882" s="3">
        <f>IFERROR(__xludf.DUMMYFUNCTION("""COMPUTED_VALUE"""),237907.0)</f>
        <v>237907</v>
      </c>
    </row>
    <row r="1883">
      <c r="A1883" s="3">
        <f>IFERROR(__xludf.DUMMYFUNCTION("""COMPUTED_VALUE"""),744516.0)</f>
        <v>744516</v>
      </c>
    </row>
    <row r="1884">
      <c r="A1884" s="3">
        <f>IFERROR(__xludf.DUMMYFUNCTION("""COMPUTED_VALUE"""),301786.0)</f>
        <v>301786</v>
      </c>
    </row>
    <row r="1885">
      <c r="A1885" s="3">
        <f>IFERROR(__xludf.DUMMYFUNCTION("""COMPUTED_VALUE"""),530781.0)</f>
        <v>530781</v>
      </c>
    </row>
    <row r="1886">
      <c r="A1886" s="3">
        <f>IFERROR(__xludf.DUMMYFUNCTION("""COMPUTED_VALUE"""),716327.0)</f>
        <v>716327</v>
      </c>
    </row>
    <row r="1887">
      <c r="A1887" s="3">
        <f>IFERROR(__xludf.DUMMYFUNCTION("""COMPUTED_VALUE"""),147159.0)</f>
        <v>147159</v>
      </c>
    </row>
    <row r="1888">
      <c r="A1888" s="3">
        <f>IFERROR(__xludf.DUMMYFUNCTION("""COMPUTED_VALUE"""),528453.0)</f>
        <v>528453</v>
      </c>
    </row>
    <row r="1889">
      <c r="A1889" s="3">
        <f>IFERROR(__xludf.DUMMYFUNCTION("""COMPUTED_VALUE"""),728811.0)</f>
        <v>728811</v>
      </c>
    </row>
    <row r="1890">
      <c r="A1890" s="3">
        <f>IFERROR(__xludf.DUMMYFUNCTION("""COMPUTED_VALUE"""),787161.0)</f>
        <v>787161</v>
      </c>
    </row>
    <row r="1891">
      <c r="A1891" s="3">
        <f>IFERROR(__xludf.DUMMYFUNCTION("""COMPUTED_VALUE"""),483379.0)</f>
        <v>483379</v>
      </c>
    </row>
    <row r="1892">
      <c r="A1892" s="3">
        <f>IFERROR(__xludf.DUMMYFUNCTION("""COMPUTED_VALUE"""),465742.0)</f>
        <v>465742</v>
      </c>
    </row>
    <row r="1893">
      <c r="A1893" s="3">
        <f>IFERROR(__xludf.DUMMYFUNCTION("""COMPUTED_VALUE"""),496022.0)</f>
        <v>496022</v>
      </c>
    </row>
    <row r="1894">
      <c r="A1894" s="3">
        <f>IFERROR(__xludf.DUMMYFUNCTION("""COMPUTED_VALUE"""),1322737.0)</f>
        <v>1322737</v>
      </c>
    </row>
    <row r="1895">
      <c r="A1895" s="3">
        <f>IFERROR(__xludf.DUMMYFUNCTION("""COMPUTED_VALUE"""),412152.0)</f>
        <v>412152</v>
      </c>
    </row>
    <row r="1896">
      <c r="A1896" s="3">
        <f>IFERROR(__xludf.DUMMYFUNCTION("""COMPUTED_VALUE"""),496241.0)</f>
        <v>496241</v>
      </c>
    </row>
    <row r="1897">
      <c r="A1897" s="3">
        <f>IFERROR(__xludf.DUMMYFUNCTION("""COMPUTED_VALUE"""),661760.0)</f>
        <v>661760</v>
      </c>
    </row>
    <row r="1898">
      <c r="A1898" s="3">
        <f>IFERROR(__xludf.DUMMYFUNCTION("""COMPUTED_VALUE"""),448170.0)</f>
        <v>448170</v>
      </c>
    </row>
    <row r="1899">
      <c r="A1899" s="3">
        <f>IFERROR(__xludf.DUMMYFUNCTION("""COMPUTED_VALUE"""),744033.0)</f>
        <v>744033</v>
      </c>
    </row>
    <row r="1900">
      <c r="A1900" s="3">
        <f>IFERROR(__xludf.DUMMYFUNCTION("""COMPUTED_VALUE"""),254901.0)</f>
        <v>254901</v>
      </c>
    </row>
    <row r="1901">
      <c r="A1901" s="3">
        <f>IFERROR(__xludf.DUMMYFUNCTION("""COMPUTED_VALUE"""),320543.0)</f>
        <v>320543</v>
      </c>
    </row>
    <row r="1902">
      <c r="A1902" s="3">
        <f>IFERROR(__xludf.DUMMYFUNCTION("""COMPUTED_VALUE"""),366885.0)</f>
        <v>366885</v>
      </c>
    </row>
    <row r="1903">
      <c r="A1903" s="3">
        <f>IFERROR(__xludf.DUMMYFUNCTION("""COMPUTED_VALUE"""),682909.0)</f>
        <v>682909</v>
      </c>
    </row>
    <row r="1904">
      <c r="A1904" s="3">
        <f>IFERROR(__xludf.DUMMYFUNCTION("""COMPUTED_VALUE"""),444728.0)</f>
        <v>444728</v>
      </c>
    </row>
    <row r="1905">
      <c r="A1905" s="3">
        <f>IFERROR(__xludf.DUMMYFUNCTION("""COMPUTED_VALUE"""),16537.0)</f>
        <v>16537</v>
      </c>
    </row>
    <row r="1906">
      <c r="A1906" s="3">
        <f>IFERROR(__xludf.DUMMYFUNCTION("""COMPUTED_VALUE"""),139396.0)</f>
        <v>139396</v>
      </c>
    </row>
    <row r="1907">
      <c r="A1907" s="3">
        <f>IFERROR(__xludf.DUMMYFUNCTION("""COMPUTED_VALUE"""),317183.0)</f>
        <v>317183</v>
      </c>
    </row>
    <row r="1908">
      <c r="A1908" s="3">
        <f>IFERROR(__xludf.DUMMYFUNCTION("""COMPUTED_VALUE"""),39791.0)</f>
        <v>39791</v>
      </c>
    </row>
    <row r="1909">
      <c r="A1909" s="3">
        <f>IFERROR(__xludf.DUMMYFUNCTION("""COMPUTED_VALUE"""),680000.0)</f>
        <v>680000</v>
      </c>
    </row>
    <row r="1910">
      <c r="A1910" s="3">
        <f>IFERROR(__xludf.DUMMYFUNCTION("""COMPUTED_VALUE"""),26309.0)</f>
        <v>26309</v>
      </c>
    </row>
    <row r="1911">
      <c r="A1911" s="3">
        <f>IFERROR(__xludf.DUMMYFUNCTION("""COMPUTED_VALUE"""),965889.0)</f>
        <v>965889</v>
      </c>
    </row>
    <row r="1912">
      <c r="A1912" s="3">
        <f>IFERROR(__xludf.DUMMYFUNCTION("""COMPUTED_VALUE"""),25618.0)</f>
        <v>25618</v>
      </c>
    </row>
    <row r="1913">
      <c r="A1913" s="3">
        <f>IFERROR(__xludf.DUMMYFUNCTION("""COMPUTED_VALUE"""),25515.0)</f>
        <v>25515</v>
      </c>
    </row>
    <row r="1914">
      <c r="A1914" s="3">
        <f>IFERROR(__xludf.DUMMYFUNCTION("""COMPUTED_VALUE"""),374059.0)</f>
        <v>374059</v>
      </c>
    </row>
    <row r="1915">
      <c r="A1915" s="3">
        <f>IFERROR(__xludf.DUMMYFUNCTION("""COMPUTED_VALUE"""),1416324.0)</f>
        <v>1416324</v>
      </c>
    </row>
    <row r="1916">
      <c r="A1916" s="3">
        <f>IFERROR(__xludf.DUMMYFUNCTION("""COMPUTED_VALUE"""),1040054.0)</f>
        <v>1040054</v>
      </c>
    </row>
    <row r="1917">
      <c r="A1917" s="3">
        <f>IFERROR(__xludf.DUMMYFUNCTION("""COMPUTED_VALUE"""),516690.0)</f>
        <v>516690</v>
      </c>
    </row>
    <row r="1918">
      <c r="A1918" s="3">
        <f>IFERROR(__xludf.DUMMYFUNCTION("""COMPUTED_VALUE"""),1356593.0)</f>
        <v>1356593</v>
      </c>
    </row>
    <row r="1919">
      <c r="A1919" s="3">
        <f>IFERROR(__xludf.DUMMYFUNCTION("""COMPUTED_VALUE"""),38510.0)</f>
        <v>38510</v>
      </c>
    </row>
    <row r="1920">
      <c r="A1920" s="3">
        <f>IFERROR(__xludf.DUMMYFUNCTION("""COMPUTED_VALUE"""),369531.0)</f>
        <v>369531</v>
      </c>
    </row>
    <row r="1921">
      <c r="A1921" s="3">
        <f>IFERROR(__xludf.DUMMYFUNCTION("""COMPUTED_VALUE"""),53.0)</f>
        <v>53</v>
      </c>
    </row>
    <row r="1922">
      <c r="A1922" s="3">
        <f>IFERROR(__xludf.DUMMYFUNCTION("""COMPUTED_VALUE"""),35768.0)</f>
        <v>35768</v>
      </c>
    </row>
    <row r="1923">
      <c r="A1923" s="3">
        <f>IFERROR(__xludf.DUMMYFUNCTION("""COMPUTED_VALUE"""),25766.0)</f>
        <v>25766</v>
      </c>
    </row>
    <row r="1924">
      <c r="A1924" s="3">
        <f>IFERROR(__xludf.DUMMYFUNCTION("""COMPUTED_VALUE"""),875445.0)</f>
        <v>875445</v>
      </c>
    </row>
    <row r="1925">
      <c r="A1925" s="3">
        <f>IFERROR(__xludf.DUMMYFUNCTION("""COMPUTED_VALUE"""),448911.0)</f>
        <v>448911</v>
      </c>
    </row>
    <row r="1926">
      <c r="A1926" s="3">
        <f>IFERROR(__xludf.DUMMYFUNCTION("""COMPUTED_VALUE"""),882573.0)</f>
        <v>882573</v>
      </c>
    </row>
    <row r="1927">
      <c r="A1927" s="3">
        <f>IFERROR(__xludf.DUMMYFUNCTION("""COMPUTED_VALUE"""),430649.0)</f>
        <v>430649</v>
      </c>
    </row>
    <row r="1928">
      <c r="A1928" s="3">
        <f>IFERROR(__xludf.DUMMYFUNCTION("""COMPUTED_VALUE"""),3278.0)</f>
        <v>3278</v>
      </c>
    </row>
    <row r="1929">
      <c r="A1929" s="3">
        <f>IFERROR(__xludf.DUMMYFUNCTION("""COMPUTED_VALUE"""),15189.0)</f>
        <v>15189</v>
      </c>
    </row>
    <row r="1930">
      <c r="A1930" s="3">
        <f>IFERROR(__xludf.DUMMYFUNCTION("""COMPUTED_VALUE"""),21942.0)</f>
        <v>21942</v>
      </c>
    </row>
    <row r="1931">
      <c r="A1931" s="3">
        <f>IFERROR(__xludf.DUMMYFUNCTION("""COMPUTED_VALUE"""),556567.0)</f>
        <v>556567</v>
      </c>
    </row>
    <row r="1932">
      <c r="A1932" s="3">
        <f>IFERROR(__xludf.DUMMYFUNCTION("""COMPUTED_VALUE"""),25415.0)</f>
        <v>25415</v>
      </c>
    </row>
    <row r="1933">
      <c r="A1933" s="3">
        <f>IFERROR(__xludf.DUMMYFUNCTION("""COMPUTED_VALUE"""),37752.0)</f>
        <v>37752</v>
      </c>
    </row>
    <row r="1934">
      <c r="A1934" s="3">
        <f>IFERROR(__xludf.DUMMYFUNCTION("""COMPUTED_VALUE"""),26912.0)</f>
        <v>26912</v>
      </c>
    </row>
    <row r="1935">
      <c r="A1935" s="3">
        <f>IFERROR(__xludf.DUMMYFUNCTION("""COMPUTED_VALUE"""),22894.0)</f>
        <v>22894</v>
      </c>
    </row>
    <row r="1936">
      <c r="A1936" s="3">
        <f>IFERROR(__xludf.DUMMYFUNCTION("""COMPUTED_VALUE"""),15083.0)</f>
        <v>15083</v>
      </c>
    </row>
    <row r="1937">
      <c r="A1937" s="3">
        <f>IFERROR(__xludf.DUMMYFUNCTION("""COMPUTED_VALUE"""),14471.0)</f>
        <v>14471</v>
      </c>
    </row>
    <row r="1938">
      <c r="A1938" s="3">
        <f>IFERROR(__xludf.DUMMYFUNCTION("""COMPUTED_VALUE"""),581246.0)</f>
        <v>581246</v>
      </c>
    </row>
    <row r="1939">
      <c r="A1939" s="3">
        <f>IFERROR(__xludf.DUMMYFUNCTION("""COMPUTED_VALUE"""),15124.0)</f>
        <v>15124</v>
      </c>
    </row>
    <row r="1940">
      <c r="A1940" s="3">
        <f>IFERROR(__xludf.DUMMYFUNCTION("""COMPUTED_VALUE"""),232692.0)</f>
        <v>232692</v>
      </c>
    </row>
    <row r="1941">
      <c r="A1941" s="3">
        <f>IFERROR(__xludf.DUMMYFUNCTION("""COMPUTED_VALUE"""),1061000.0)</f>
        <v>1061000</v>
      </c>
    </row>
    <row r="1942">
      <c r="A1942" s="3">
        <f>IFERROR(__xludf.DUMMYFUNCTION("""COMPUTED_VALUE"""),15624.0)</f>
        <v>15624</v>
      </c>
    </row>
    <row r="1943">
      <c r="A1943" s="3">
        <f>IFERROR(__xludf.DUMMYFUNCTION("""COMPUTED_VALUE"""),429071.0)</f>
        <v>429071</v>
      </c>
    </row>
    <row r="1944">
      <c r="A1944" s="3">
        <f>IFERROR(__xludf.DUMMYFUNCTION("""COMPUTED_VALUE"""),1814306.0)</f>
        <v>1814306</v>
      </c>
    </row>
    <row r="1945">
      <c r="A1945" s="3">
        <f>IFERROR(__xludf.DUMMYFUNCTION("""COMPUTED_VALUE"""),25614.0)</f>
        <v>25614</v>
      </c>
    </row>
    <row r="1946">
      <c r="A1946" s="3">
        <f>IFERROR(__xludf.DUMMYFUNCTION("""COMPUTED_VALUE"""),52886.0)</f>
        <v>52886</v>
      </c>
    </row>
    <row r="1947">
      <c r="A1947" s="3">
        <f>IFERROR(__xludf.DUMMYFUNCTION("""COMPUTED_VALUE"""),17336.0)</f>
        <v>17336</v>
      </c>
    </row>
    <row r="1948">
      <c r="A1948" s="3">
        <f>IFERROR(__xludf.DUMMYFUNCTION("""COMPUTED_VALUE"""),26842.0)</f>
        <v>26842</v>
      </c>
    </row>
    <row r="1949">
      <c r="A1949" s="3">
        <f>IFERROR(__xludf.DUMMYFUNCTION("""COMPUTED_VALUE"""),47897.0)</f>
        <v>47897</v>
      </c>
    </row>
    <row r="1950">
      <c r="A1950" s="3">
        <f>IFERROR(__xludf.DUMMYFUNCTION("""COMPUTED_VALUE"""),386026.0)</f>
        <v>386026</v>
      </c>
    </row>
    <row r="1951">
      <c r="A1951" s="3">
        <f>IFERROR(__xludf.DUMMYFUNCTION("""COMPUTED_VALUE"""),23043.0)</f>
        <v>23043</v>
      </c>
    </row>
    <row r="1952">
      <c r="A1952" s="3">
        <f>IFERROR(__xludf.DUMMYFUNCTION("""COMPUTED_VALUE"""),18086.0)</f>
        <v>18086</v>
      </c>
    </row>
    <row r="1953">
      <c r="A1953" s="3">
        <f>IFERROR(__xludf.DUMMYFUNCTION("""COMPUTED_VALUE"""),36279.0)</f>
        <v>36279</v>
      </c>
    </row>
    <row r="1954">
      <c r="A1954" s="3">
        <f>IFERROR(__xludf.DUMMYFUNCTION("""COMPUTED_VALUE"""),56352.0)</f>
        <v>56352</v>
      </c>
    </row>
    <row r="1955">
      <c r="A1955" s="3">
        <f>IFERROR(__xludf.DUMMYFUNCTION("""COMPUTED_VALUE"""),584620.0)</f>
        <v>584620</v>
      </c>
    </row>
    <row r="1956">
      <c r="A1956" s="3">
        <f>IFERROR(__xludf.DUMMYFUNCTION("""COMPUTED_VALUE"""),24818.0)</f>
        <v>24818</v>
      </c>
    </row>
    <row r="1957">
      <c r="A1957" s="3">
        <f>IFERROR(__xludf.DUMMYFUNCTION("""COMPUTED_VALUE"""),731418.0)</f>
        <v>731418</v>
      </c>
    </row>
    <row r="1958">
      <c r="A1958" s="3">
        <f>IFERROR(__xludf.DUMMYFUNCTION("""COMPUTED_VALUE"""),73962.0)</f>
        <v>73962</v>
      </c>
    </row>
    <row r="1959">
      <c r="A1959" s="3">
        <f>IFERROR(__xludf.DUMMYFUNCTION("""COMPUTED_VALUE"""),271325.0)</f>
        <v>271325</v>
      </c>
    </row>
    <row r="1960">
      <c r="A1960" s="3">
        <f>IFERROR(__xludf.DUMMYFUNCTION("""COMPUTED_VALUE"""),41851.0)</f>
        <v>41851</v>
      </c>
    </row>
    <row r="1961">
      <c r="A1961" s="3">
        <f>IFERROR(__xludf.DUMMYFUNCTION("""COMPUTED_VALUE"""),626664.0)</f>
        <v>626664</v>
      </c>
    </row>
    <row r="1962">
      <c r="A1962" s="3">
        <f>IFERROR(__xludf.DUMMYFUNCTION("""COMPUTED_VALUE"""),74078.0)</f>
        <v>74078</v>
      </c>
    </row>
    <row r="1963">
      <c r="A1963" s="3">
        <f>IFERROR(__xludf.DUMMYFUNCTION("""COMPUTED_VALUE"""),106201.0)</f>
        <v>106201</v>
      </c>
    </row>
    <row r="1964">
      <c r="A1964" s="3">
        <f>IFERROR(__xludf.DUMMYFUNCTION("""COMPUTED_VALUE"""),1002198.0)</f>
        <v>1002198</v>
      </c>
    </row>
    <row r="1965">
      <c r="A1965" s="3">
        <f>IFERROR(__xludf.DUMMYFUNCTION("""COMPUTED_VALUE"""),63765.0)</f>
        <v>63765</v>
      </c>
    </row>
    <row r="1966">
      <c r="A1966" s="3">
        <f>IFERROR(__xludf.DUMMYFUNCTION("""COMPUTED_VALUE"""),276376.0)</f>
        <v>276376</v>
      </c>
    </row>
    <row r="1967">
      <c r="A1967" s="3">
        <f>IFERROR(__xludf.DUMMYFUNCTION("""COMPUTED_VALUE"""),245202.0)</f>
        <v>245202</v>
      </c>
    </row>
    <row r="1968">
      <c r="A1968" s="3">
        <f>IFERROR(__xludf.DUMMYFUNCTION("""COMPUTED_VALUE"""),504107.0)</f>
        <v>504107</v>
      </c>
    </row>
    <row r="1969">
      <c r="A1969" s="3">
        <f>IFERROR(__xludf.DUMMYFUNCTION("""COMPUTED_VALUE"""),21273.0)</f>
        <v>21273</v>
      </c>
    </row>
    <row r="1970">
      <c r="A1970" s="3">
        <f>IFERROR(__xludf.DUMMYFUNCTION("""COMPUTED_VALUE"""),447676.0)</f>
        <v>447676</v>
      </c>
    </row>
    <row r="1971">
      <c r="A1971" s="3">
        <f>IFERROR(__xludf.DUMMYFUNCTION("""COMPUTED_VALUE"""),609381.0)</f>
        <v>609381</v>
      </c>
    </row>
    <row r="1972">
      <c r="A1972" s="3">
        <f>IFERROR(__xludf.DUMMYFUNCTION("""COMPUTED_VALUE"""),28402.0)</f>
        <v>28402</v>
      </c>
    </row>
    <row r="1973">
      <c r="A1973" s="3">
        <f>IFERROR(__xludf.DUMMYFUNCTION("""COMPUTED_VALUE"""),15617.0)</f>
        <v>15617</v>
      </c>
    </row>
    <row r="1974">
      <c r="A1974" s="3">
        <f>IFERROR(__xludf.DUMMYFUNCTION("""COMPUTED_VALUE"""),1187386.0)</f>
        <v>1187386</v>
      </c>
    </row>
    <row r="1975">
      <c r="A1975" s="3">
        <f>IFERROR(__xludf.DUMMYFUNCTION("""COMPUTED_VALUE"""),687251.0)</f>
        <v>687251</v>
      </c>
    </row>
    <row r="1976">
      <c r="A1976" s="3">
        <f>IFERROR(__xludf.DUMMYFUNCTION("""COMPUTED_VALUE"""),29580.0)</f>
        <v>29580</v>
      </c>
    </row>
    <row r="1977">
      <c r="A1977" s="3">
        <f>IFERROR(__xludf.DUMMYFUNCTION("""COMPUTED_VALUE"""),12060.0)</f>
        <v>12060</v>
      </c>
    </row>
    <row r="1978">
      <c r="A1978" s="3">
        <f>IFERROR(__xludf.DUMMYFUNCTION("""COMPUTED_VALUE"""),36728.0)</f>
        <v>36728</v>
      </c>
    </row>
    <row r="1979">
      <c r="A1979" s="3">
        <f>IFERROR(__xludf.DUMMYFUNCTION("""COMPUTED_VALUE"""),105868.0)</f>
        <v>105868</v>
      </c>
    </row>
    <row r="1980">
      <c r="A1980" s="3">
        <f>IFERROR(__xludf.DUMMYFUNCTION("""COMPUTED_VALUE"""),998289.0)</f>
        <v>998289</v>
      </c>
    </row>
    <row r="1981">
      <c r="A1981" s="3">
        <f>IFERROR(__xludf.DUMMYFUNCTION("""COMPUTED_VALUE"""),8062.0)</f>
        <v>8062</v>
      </c>
    </row>
    <row r="1982">
      <c r="A1982" s="3">
        <f>IFERROR(__xludf.DUMMYFUNCTION("""COMPUTED_VALUE"""),12555.0)</f>
        <v>12555</v>
      </c>
    </row>
    <row r="1983">
      <c r="A1983" s="3">
        <f>IFERROR(__xludf.DUMMYFUNCTION("""COMPUTED_VALUE"""),139072.0)</f>
        <v>139072</v>
      </c>
    </row>
    <row r="1984">
      <c r="A1984" s="3">
        <f>IFERROR(__xludf.DUMMYFUNCTION("""COMPUTED_VALUE"""),79.0)</f>
        <v>79</v>
      </c>
    </row>
    <row r="1985">
      <c r="A1985" s="3">
        <f>IFERROR(__xludf.DUMMYFUNCTION("""COMPUTED_VALUE"""),511779.0)</f>
        <v>511779</v>
      </c>
    </row>
    <row r="1986">
      <c r="A1986" s="3">
        <f>IFERROR(__xludf.DUMMYFUNCTION("""COMPUTED_VALUE"""),35342.0)</f>
        <v>35342</v>
      </c>
    </row>
    <row r="1987">
      <c r="A1987" s="3">
        <f>IFERROR(__xludf.DUMMYFUNCTION("""COMPUTED_VALUE"""),1242641.0)</f>
        <v>1242641</v>
      </c>
    </row>
    <row r="1988">
      <c r="A1988" s="3">
        <f>IFERROR(__xludf.DUMMYFUNCTION("""COMPUTED_VALUE"""),53744.0)</f>
        <v>53744</v>
      </c>
    </row>
    <row r="1989">
      <c r="A1989" s="3">
        <f>IFERROR(__xludf.DUMMYFUNCTION("""COMPUTED_VALUE"""),200977.0)</f>
        <v>200977</v>
      </c>
    </row>
    <row r="1990">
      <c r="A1990" s="3">
        <f>IFERROR(__xludf.DUMMYFUNCTION("""COMPUTED_VALUE"""),11472.0)</f>
        <v>11472</v>
      </c>
    </row>
    <row r="1991">
      <c r="A1991" s="3">
        <f>IFERROR(__xludf.DUMMYFUNCTION("""COMPUTED_VALUE"""),555.0)</f>
        <v>555</v>
      </c>
    </row>
    <row r="1992">
      <c r="A1992" s="3">
        <f>IFERROR(__xludf.DUMMYFUNCTION("""COMPUTED_VALUE"""),1.0)</f>
        <v>1</v>
      </c>
    </row>
    <row r="1993">
      <c r="A1993" s="3">
        <f>IFERROR(__xludf.DUMMYFUNCTION("""COMPUTED_VALUE"""),401953.0)</f>
        <v>401953</v>
      </c>
    </row>
    <row r="1994">
      <c r="A1994" s="3">
        <f>IFERROR(__xludf.DUMMYFUNCTION("""COMPUTED_VALUE"""),876909.0)</f>
        <v>876909</v>
      </c>
    </row>
    <row r="1995">
      <c r="A1995" s="3">
        <f>IFERROR(__xludf.DUMMYFUNCTION("""COMPUTED_VALUE"""),72.0)</f>
        <v>72</v>
      </c>
    </row>
    <row r="1996">
      <c r="A1996" s="3">
        <f>IFERROR(__xludf.DUMMYFUNCTION("""COMPUTED_VALUE"""),92.0)</f>
        <v>92</v>
      </c>
    </row>
    <row r="1997">
      <c r="A1997" s="3">
        <f>IFERROR(__xludf.DUMMYFUNCTION("""COMPUTED_VALUE"""),51.0)</f>
        <v>51</v>
      </c>
    </row>
    <row r="1998">
      <c r="A1998" s="3">
        <f>IFERROR(__xludf.DUMMYFUNCTION("""COMPUTED_VALUE"""),103166.0)</f>
        <v>103166</v>
      </c>
    </row>
    <row r="1999">
      <c r="A1999" s="3">
        <f>IFERROR(__xludf.DUMMYFUNCTION("""COMPUTED_VALUE"""),12432.0)</f>
        <v>12432</v>
      </c>
    </row>
    <row r="2000">
      <c r="A2000" s="3">
        <f>IFERROR(__xludf.DUMMYFUNCTION("""COMPUTED_VALUE"""),52060.0)</f>
        <v>52060</v>
      </c>
    </row>
    <row r="2001">
      <c r="A2001" s="3">
        <f>IFERROR(__xludf.DUMMYFUNCTION("""COMPUTED_VALUE"""),309497.0)</f>
        <v>309497</v>
      </c>
    </row>
    <row r="2002">
      <c r="A2002" s="3">
        <f>IFERROR(__xludf.DUMMYFUNCTION("""COMPUTED_VALUE"""),435472.0)</f>
        <v>435472</v>
      </c>
    </row>
    <row r="2003">
      <c r="A2003" s="3">
        <f>IFERROR(__xludf.DUMMYFUNCTION("""COMPUTED_VALUE"""),23715.0)</f>
        <v>23715</v>
      </c>
    </row>
    <row r="2004">
      <c r="A2004" s="3">
        <f>IFERROR(__xludf.DUMMYFUNCTION("""COMPUTED_VALUE"""),42892.0)</f>
        <v>42892</v>
      </c>
    </row>
    <row r="2005">
      <c r="A2005" s="3">
        <f>IFERROR(__xludf.DUMMYFUNCTION("""COMPUTED_VALUE"""),122633.0)</f>
        <v>122633</v>
      </c>
    </row>
    <row r="2006">
      <c r="A2006" s="3">
        <f>IFERROR(__xludf.DUMMYFUNCTION("""COMPUTED_VALUE"""),156442.0)</f>
        <v>156442</v>
      </c>
    </row>
    <row r="2007">
      <c r="A2007" s="3">
        <f>IFERROR(__xludf.DUMMYFUNCTION("""COMPUTED_VALUE"""),719.0)</f>
        <v>719</v>
      </c>
    </row>
    <row r="2008">
      <c r="A2008" s="3">
        <f>IFERROR(__xludf.DUMMYFUNCTION("""COMPUTED_VALUE"""),1296967.0)</f>
        <v>1296967</v>
      </c>
    </row>
    <row r="2009">
      <c r="A2009" s="3">
        <f>IFERROR(__xludf.DUMMYFUNCTION("""COMPUTED_VALUE"""),151.0)</f>
        <v>151</v>
      </c>
    </row>
    <row r="2010">
      <c r="A2010" s="3">
        <f>IFERROR(__xludf.DUMMYFUNCTION("""COMPUTED_VALUE"""),20147.0)</f>
        <v>20147</v>
      </c>
    </row>
    <row r="2011">
      <c r="A2011" s="3">
        <f>IFERROR(__xludf.DUMMYFUNCTION("""COMPUTED_VALUE"""),1336653.0)</f>
        <v>1336653</v>
      </c>
    </row>
    <row r="2012">
      <c r="A2012" s="3">
        <f>IFERROR(__xludf.DUMMYFUNCTION("""COMPUTED_VALUE"""),59.0)</f>
        <v>59</v>
      </c>
    </row>
    <row r="2013">
      <c r="A2013" s="3">
        <f>IFERROR(__xludf.DUMMYFUNCTION("""COMPUTED_VALUE"""),12422.0)</f>
        <v>12422</v>
      </c>
    </row>
    <row r="2014">
      <c r="A2014" s="3">
        <f>IFERROR(__xludf.DUMMYFUNCTION("""COMPUTED_VALUE"""),32941.0)</f>
        <v>32941</v>
      </c>
    </row>
    <row r="2015">
      <c r="A2015" s="3">
        <f>IFERROR(__xludf.DUMMYFUNCTION("""COMPUTED_VALUE"""),33794.0)</f>
        <v>33794</v>
      </c>
    </row>
    <row r="2016">
      <c r="A2016" s="3">
        <f>IFERROR(__xludf.DUMMYFUNCTION("""COMPUTED_VALUE"""),34931.0)</f>
        <v>34931</v>
      </c>
    </row>
    <row r="2017">
      <c r="A2017" s="3">
        <f>IFERROR(__xludf.DUMMYFUNCTION("""COMPUTED_VALUE"""),816692.0)</f>
        <v>816692</v>
      </c>
    </row>
    <row r="2018">
      <c r="A2018" s="3">
        <f>IFERROR(__xludf.DUMMYFUNCTION("""COMPUTED_VALUE"""),510646.0)</f>
        <v>510646</v>
      </c>
    </row>
    <row r="2019">
      <c r="A2019" s="3">
        <f>IFERROR(__xludf.DUMMYFUNCTION("""COMPUTED_VALUE"""),437609.0)</f>
        <v>437609</v>
      </c>
    </row>
    <row r="2020">
      <c r="A2020" s="3">
        <f>IFERROR(__xludf.DUMMYFUNCTION("""COMPUTED_VALUE"""),626072.0)</f>
        <v>626072</v>
      </c>
    </row>
    <row r="2021">
      <c r="A2021" s="3">
        <f>IFERROR(__xludf.DUMMYFUNCTION("""COMPUTED_VALUE"""),1430729.0)</f>
        <v>1430729</v>
      </c>
    </row>
    <row r="2022">
      <c r="A2022" s="3">
        <f>IFERROR(__xludf.DUMMYFUNCTION("""COMPUTED_VALUE"""),1097825.0)</f>
        <v>1097825</v>
      </c>
    </row>
    <row r="2023">
      <c r="A2023" s="3">
        <f>IFERROR(__xludf.DUMMYFUNCTION("""COMPUTED_VALUE"""),795550.0)</f>
        <v>795550</v>
      </c>
    </row>
    <row r="2024">
      <c r="A2024" s="3">
        <f>IFERROR(__xludf.DUMMYFUNCTION("""COMPUTED_VALUE"""),677369.0)</f>
        <v>677369</v>
      </c>
    </row>
    <row r="2025">
      <c r="A2025" s="3">
        <f>IFERROR(__xludf.DUMMYFUNCTION("""COMPUTED_VALUE"""),598946.0)</f>
        <v>598946</v>
      </c>
    </row>
    <row r="2026">
      <c r="A2026" s="3">
        <f>IFERROR(__xludf.DUMMYFUNCTION("""COMPUTED_VALUE"""),1198603.0)</f>
        <v>1198603</v>
      </c>
    </row>
    <row r="2027">
      <c r="A2027" s="3">
        <f>IFERROR(__xludf.DUMMYFUNCTION("""COMPUTED_VALUE"""),52.0)</f>
        <v>52</v>
      </c>
    </row>
    <row r="2028">
      <c r="A2028" s="3">
        <f>IFERROR(__xludf.DUMMYFUNCTION("""COMPUTED_VALUE"""),1541682.0)</f>
        <v>1541682</v>
      </c>
    </row>
    <row r="2029">
      <c r="A2029" s="3">
        <f>IFERROR(__xludf.DUMMYFUNCTION("""COMPUTED_VALUE"""),568656.0)</f>
        <v>568656</v>
      </c>
    </row>
    <row r="2030">
      <c r="A2030" s="3">
        <f>IFERROR(__xludf.DUMMYFUNCTION("""COMPUTED_VALUE"""),529773.0)</f>
        <v>529773</v>
      </c>
    </row>
    <row r="2031">
      <c r="A2031" s="3">
        <f>IFERROR(__xludf.DUMMYFUNCTION("""COMPUTED_VALUE"""),1274504.0)</f>
        <v>1274504</v>
      </c>
    </row>
    <row r="2032">
      <c r="A2032" s="3">
        <f>IFERROR(__xludf.DUMMYFUNCTION("""COMPUTED_VALUE"""),1437808.0)</f>
        <v>1437808</v>
      </c>
    </row>
    <row r="2033">
      <c r="A2033" s="3">
        <f>IFERROR(__xludf.DUMMYFUNCTION("""COMPUTED_VALUE"""),590352.0)</f>
        <v>590352</v>
      </c>
    </row>
    <row r="2034">
      <c r="A2034" s="3">
        <f>IFERROR(__xludf.DUMMYFUNCTION("""COMPUTED_VALUE"""),567458.0)</f>
        <v>567458</v>
      </c>
    </row>
    <row r="2035">
      <c r="A2035" s="3">
        <f>IFERROR(__xludf.DUMMYFUNCTION("""COMPUTED_VALUE"""),458749.0)</f>
        <v>458749</v>
      </c>
    </row>
    <row r="2036">
      <c r="A2036" s="3">
        <f>IFERROR(__xludf.DUMMYFUNCTION("""COMPUTED_VALUE"""),534757.0)</f>
        <v>534757</v>
      </c>
    </row>
    <row r="2037">
      <c r="A2037" s="3">
        <f>IFERROR(__xludf.DUMMYFUNCTION("""COMPUTED_VALUE"""),694460.0)</f>
        <v>694460</v>
      </c>
    </row>
    <row r="2038">
      <c r="A2038" s="3">
        <f>IFERROR(__xludf.DUMMYFUNCTION("""COMPUTED_VALUE"""),1325345.0)</f>
        <v>1325345</v>
      </c>
    </row>
    <row r="2039">
      <c r="A2039" s="3">
        <f>IFERROR(__xludf.DUMMYFUNCTION("""COMPUTED_VALUE"""),604706.0)</f>
        <v>604706</v>
      </c>
    </row>
    <row r="2040">
      <c r="A2040" s="3">
        <f>IFERROR(__xludf.DUMMYFUNCTION("""COMPUTED_VALUE"""),514393.0)</f>
        <v>514393</v>
      </c>
    </row>
    <row r="2041">
      <c r="A2041" s="3">
        <f>IFERROR(__xludf.DUMMYFUNCTION("""COMPUTED_VALUE"""),791256.0)</f>
        <v>791256</v>
      </c>
    </row>
    <row r="2042">
      <c r="A2042" s="3">
        <f>IFERROR(__xludf.DUMMYFUNCTION("""COMPUTED_VALUE"""),544680.0)</f>
        <v>544680</v>
      </c>
    </row>
    <row r="2043">
      <c r="A2043" s="3">
        <f>IFERROR(__xludf.DUMMYFUNCTION("""COMPUTED_VALUE"""),586830.0)</f>
        <v>586830</v>
      </c>
    </row>
    <row r="2044">
      <c r="A2044" s="3">
        <f>IFERROR(__xludf.DUMMYFUNCTION("""COMPUTED_VALUE"""),1648787.0)</f>
        <v>1648787</v>
      </c>
    </row>
    <row r="2045">
      <c r="A2045" s="3">
        <f>IFERROR(__xludf.DUMMYFUNCTION("""COMPUTED_VALUE"""),786846.0)</f>
        <v>786846</v>
      </c>
    </row>
    <row r="2046">
      <c r="A2046" s="3">
        <f>IFERROR(__xludf.DUMMYFUNCTION("""COMPUTED_VALUE"""),854490.0)</f>
        <v>854490</v>
      </c>
    </row>
    <row r="2047">
      <c r="A2047" s="3">
        <f>IFERROR(__xludf.DUMMYFUNCTION("""COMPUTED_VALUE"""),60.0)</f>
        <v>60</v>
      </c>
    </row>
    <row r="2048">
      <c r="A2048" s="3">
        <f>IFERROR(__xludf.DUMMYFUNCTION("""COMPUTED_VALUE"""),962755.0)</f>
        <v>962755</v>
      </c>
    </row>
    <row r="2049">
      <c r="A2049" s="3">
        <f>IFERROR(__xludf.DUMMYFUNCTION("""COMPUTED_VALUE"""),1159497.0)</f>
        <v>1159497</v>
      </c>
    </row>
    <row r="2050">
      <c r="A2050" s="3">
        <f>IFERROR(__xludf.DUMMYFUNCTION("""COMPUTED_VALUE"""),860820.0)</f>
        <v>860820</v>
      </c>
    </row>
    <row r="2051">
      <c r="A2051" s="3">
        <f>IFERROR(__xludf.DUMMYFUNCTION("""COMPUTED_VALUE"""),1068485.0)</f>
        <v>1068485</v>
      </c>
    </row>
    <row r="2052">
      <c r="A2052" s="3">
        <f>IFERROR(__xludf.DUMMYFUNCTION("""COMPUTED_VALUE"""),2025552.0)</f>
        <v>2025552</v>
      </c>
    </row>
    <row r="2053">
      <c r="A2053" s="3">
        <f>IFERROR(__xludf.DUMMYFUNCTION("""COMPUTED_VALUE"""),2011380.0)</f>
        <v>2011380</v>
      </c>
    </row>
    <row r="2054">
      <c r="A2054" s="3">
        <f>IFERROR(__xludf.DUMMYFUNCTION("""COMPUTED_VALUE"""),584254.0)</f>
        <v>584254</v>
      </c>
    </row>
    <row r="2055">
      <c r="A2055" s="3">
        <f>IFERROR(__xludf.DUMMYFUNCTION("""COMPUTED_VALUE"""),1006527.0)</f>
        <v>1006527</v>
      </c>
    </row>
    <row r="2056">
      <c r="A2056" s="3">
        <f>IFERROR(__xludf.DUMMYFUNCTION("""COMPUTED_VALUE"""),21083.0)</f>
        <v>21083</v>
      </c>
    </row>
    <row r="2057">
      <c r="A2057" s="3">
        <f>IFERROR(__xludf.DUMMYFUNCTION("""COMPUTED_VALUE"""),860699.0)</f>
        <v>860699</v>
      </c>
    </row>
    <row r="2058">
      <c r="A2058" s="3">
        <f>IFERROR(__xludf.DUMMYFUNCTION("""COMPUTED_VALUE"""),1225041.0)</f>
        <v>1225041</v>
      </c>
    </row>
    <row r="2059">
      <c r="A2059" s="3">
        <f>IFERROR(__xludf.DUMMYFUNCTION("""COMPUTED_VALUE"""),1178751.0)</f>
        <v>1178751</v>
      </c>
    </row>
    <row r="2060">
      <c r="A2060" s="3">
        <f>IFERROR(__xludf.DUMMYFUNCTION("""COMPUTED_VALUE"""),2166482.0)</f>
        <v>2166482</v>
      </c>
    </row>
    <row r="2061">
      <c r="A2061" s="3">
        <f>IFERROR(__xludf.DUMMYFUNCTION("""COMPUTED_VALUE"""),453157.0)</f>
        <v>453157</v>
      </c>
    </row>
    <row r="2062">
      <c r="A2062" s="3">
        <f>IFERROR(__xludf.DUMMYFUNCTION("""COMPUTED_VALUE"""),471709.0)</f>
        <v>471709</v>
      </c>
    </row>
    <row r="2063">
      <c r="A2063" s="3">
        <f>IFERROR(__xludf.DUMMYFUNCTION("""COMPUTED_VALUE"""),170.0)</f>
        <v>170</v>
      </c>
    </row>
    <row r="2064">
      <c r="A2064" s="3">
        <f>IFERROR(__xludf.DUMMYFUNCTION("""COMPUTED_VALUE"""),65.0)</f>
        <v>65</v>
      </c>
    </row>
    <row r="2065">
      <c r="A2065" s="3">
        <f>IFERROR(__xludf.DUMMYFUNCTION("""COMPUTED_VALUE"""),860576.0)</f>
        <v>860576</v>
      </c>
    </row>
    <row r="2066">
      <c r="A2066" s="3">
        <f>IFERROR(__xludf.DUMMYFUNCTION("""COMPUTED_VALUE"""),1158850.0)</f>
        <v>1158850</v>
      </c>
    </row>
    <row r="2067">
      <c r="A2067" s="3">
        <f>IFERROR(__xludf.DUMMYFUNCTION("""COMPUTED_VALUE"""),917.0)</f>
        <v>917</v>
      </c>
    </row>
    <row r="2068">
      <c r="A2068" s="3">
        <f>IFERROR(__xludf.DUMMYFUNCTION("""COMPUTED_VALUE"""),1863568.0)</f>
        <v>1863568</v>
      </c>
    </row>
    <row r="2069">
      <c r="A2069" s="3">
        <f>IFERROR(__xludf.DUMMYFUNCTION("""COMPUTED_VALUE"""),966230.0)</f>
        <v>966230</v>
      </c>
    </row>
    <row r="2070">
      <c r="A2070" s="3">
        <f>IFERROR(__xludf.DUMMYFUNCTION("""COMPUTED_VALUE"""),865117.0)</f>
        <v>865117</v>
      </c>
    </row>
    <row r="2071">
      <c r="A2071" s="3">
        <f>IFERROR(__xludf.DUMMYFUNCTION("""COMPUTED_VALUE"""),870216.0)</f>
        <v>870216</v>
      </c>
    </row>
    <row r="2072">
      <c r="A2072" s="3">
        <f>IFERROR(__xludf.DUMMYFUNCTION("""COMPUTED_VALUE"""),1130119.0)</f>
        <v>1130119</v>
      </c>
    </row>
    <row r="2073">
      <c r="A2073" s="3">
        <f>IFERROR(__xludf.DUMMYFUNCTION("""COMPUTED_VALUE"""),916251.0)</f>
        <v>916251</v>
      </c>
    </row>
    <row r="2074">
      <c r="A2074" s="3">
        <f>IFERROR(__xludf.DUMMYFUNCTION("""COMPUTED_VALUE"""),707877.0)</f>
        <v>707877</v>
      </c>
    </row>
    <row r="2075">
      <c r="A2075" s="3">
        <f>IFERROR(__xludf.DUMMYFUNCTION("""COMPUTED_VALUE"""),820984.0)</f>
        <v>820984</v>
      </c>
    </row>
    <row r="2076">
      <c r="A2076" s="3">
        <f>IFERROR(__xludf.DUMMYFUNCTION("""COMPUTED_VALUE"""),628661.0)</f>
        <v>628661</v>
      </c>
    </row>
    <row r="2077">
      <c r="A2077" s="3">
        <f>IFERROR(__xludf.DUMMYFUNCTION("""COMPUTED_VALUE"""),97061.0)</f>
        <v>97061</v>
      </c>
    </row>
    <row r="2078">
      <c r="A2078" s="3">
        <f>IFERROR(__xludf.DUMMYFUNCTION("""COMPUTED_VALUE"""),721501.0)</f>
        <v>721501</v>
      </c>
    </row>
    <row r="2079">
      <c r="A2079" s="3">
        <f>IFERROR(__xludf.DUMMYFUNCTION("""COMPUTED_VALUE"""),1764290.0)</f>
        <v>1764290</v>
      </c>
    </row>
    <row r="2080">
      <c r="A2080" s="3">
        <f>IFERROR(__xludf.DUMMYFUNCTION("""COMPUTED_VALUE"""),1967502.0)</f>
        <v>1967502</v>
      </c>
    </row>
    <row r="2081">
      <c r="A2081" s="3">
        <f>IFERROR(__xludf.DUMMYFUNCTION("""COMPUTED_VALUE"""),735014.0)</f>
        <v>735014</v>
      </c>
    </row>
    <row r="2082">
      <c r="A2082" s="3">
        <f>IFERROR(__xludf.DUMMYFUNCTION("""COMPUTED_VALUE"""),59018.0)</f>
        <v>59018</v>
      </c>
    </row>
    <row r="2083">
      <c r="A2083" s="3">
        <f>IFERROR(__xludf.DUMMYFUNCTION("""COMPUTED_VALUE"""),2336080.0)</f>
        <v>2336080</v>
      </c>
    </row>
    <row r="2084">
      <c r="A2084" s="3">
        <f>IFERROR(__xludf.DUMMYFUNCTION("""COMPUTED_VALUE"""),1368953.0)</f>
        <v>1368953</v>
      </c>
    </row>
    <row r="2085">
      <c r="A2085" s="3">
        <f>IFERROR(__xludf.DUMMYFUNCTION("""COMPUTED_VALUE"""),973293.0)</f>
        <v>973293</v>
      </c>
    </row>
    <row r="2086">
      <c r="A2086" s="3">
        <f>IFERROR(__xludf.DUMMYFUNCTION("""COMPUTED_VALUE"""),1163867.0)</f>
        <v>1163867</v>
      </c>
    </row>
    <row r="2087">
      <c r="A2087" s="3">
        <f>IFERROR(__xludf.DUMMYFUNCTION("""COMPUTED_VALUE"""),541849.0)</f>
        <v>541849</v>
      </c>
    </row>
    <row r="2088">
      <c r="A2088" s="3">
        <f>IFERROR(__xludf.DUMMYFUNCTION("""COMPUTED_VALUE"""),625837.0)</f>
        <v>625837</v>
      </c>
    </row>
    <row r="2089">
      <c r="A2089" s="3">
        <f>IFERROR(__xludf.DUMMYFUNCTION("""COMPUTED_VALUE"""),1303425.0)</f>
        <v>1303425</v>
      </c>
    </row>
    <row r="2090">
      <c r="A2090" s="3">
        <f>IFERROR(__xludf.DUMMYFUNCTION("""COMPUTED_VALUE"""),890822.0)</f>
        <v>890822</v>
      </c>
    </row>
    <row r="2091">
      <c r="A2091" s="3">
        <f>IFERROR(__xludf.DUMMYFUNCTION("""COMPUTED_VALUE"""),733602.0)</f>
        <v>733602</v>
      </c>
    </row>
    <row r="2092">
      <c r="A2092" s="3">
        <f>IFERROR(__xludf.DUMMYFUNCTION("""COMPUTED_VALUE"""),1538205.0)</f>
        <v>1538205</v>
      </c>
    </row>
    <row r="2093">
      <c r="A2093" s="3">
        <f>IFERROR(__xludf.DUMMYFUNCTION("""COMPUTED_VALUE"""),549960.0)</f>
        <v>549960</v>
      </c>
    </row>
    <row r="2094">
      <c r="A2094" s="3">
        <f>IFERROR(__xludf.DUMMYFUNCTION("""COMPUTED_VALUE"""),512250.0)</f>
        <v>512250</v>
      </c>
    </row>
    <row r="2095">
      <c r="A2095" s="3">
        <f>IFERROR(__xludf.DUMMYFUNCTION("""COMPUTED_VALUE"""),207541.0)</f>
        <v>207541</v>
      </c>
    </row>
    <row r="2096">
      <c r="A2096" s="3">
        <f>IFERROR(__xludf.DUMMYFUNCTION("""COMPUTED_VALUE"""),624665.0)</f>
        <v>624665</v>
      </c>
    </row>
    <row r="2097">
      <c r="A2097" s="3">
        <f>IFERROR(__xludf.DUMMYFUNCTION("""COMPUTED_VALUE"""),24410.0)</f>
        <v>24410</v>
      </c>
    </row>
    <row r="2098">
      <c r="A2098" s="3">
        <f>IFERROR(__xludf.DUMMYFUNCTION("""COMPUTED_VALUE"""),25.0)</f>
        <v>25</v>
      </c>
    </row>
    <row r="2099">
      <c r="A2099" s="3">
        <f>IFERROR(__xludf.DUMMYFUNCTION("""COMPUTED_VALUE"""),2250000.0)</f>
        <v>2250000</v>
      </c>
    </row>
    <row r="2100">
      <c r="A2100" s="3">
        <f>IFERROR(__xludf.DUMMYFUNCTION("""COMPUTED_VALUE"""),974234.0)</f>
        <v>974234</v>
      </c>
    </row>
    <row r="2101">
      <c r="A2101" s="3">
        <f>IFERROR(__xludf.DUMMYFUNCTION("""COMPUTED_VALUE"""),954869.0)</f>
        <v>954869</v>
      </c>
    </row>
    <row r="2102">
      <c r="A2102" s="3">
        <f>IFERROR(__xludf.DUMMYFUNCTION("""COMPUTED_VALUE"""),1621262.0)</f>
        <v>1621262</v>
      </c>
    </row>
    <row r="2103">
      <c r="A2103" s="3">
        <f>IFERROR(__xludf.DUMMYFUNCTION("""COMPUTED_VALUE"""),938141.0)</f>
        <v>938141</v>
      </c>
    </row>
    <row r="2104">
      <c r="A2104" s="3">
        <f>IFERROR(__xludf.DUMMYFUNCTION("""COMPUTED_VALUE"""),40610.0)</f>
        <v>40610</v>
      </c>
    </row>
    <row r="2105">
      <c r="A2105" s="3">
        <f>IFERROR(__xludf.DUMMYFUNCTION("""COMPUTED_VALUE"""),40147.0)</f>
        <v>40147</v>
      </c>
    </row>
    <row r="2106">
      <c r="A2106" s="3">
        <f>IFERROR(__xludf.DUMMYFUNCTION("""COMPUTED_VALUE"""),893330.0)</f>
        <v>893330</v>
      </c>
    </row>
    <row r="2107">
      <c r="A2107" s="3">
        <f>IFERROR(__xludf.DUMMYFUNCTION("""COMPUTED_VALUE"""),1276978.0)</f>
        <v>1276978</v>
      </c>
    </row>
    <row r="2108">
      <c r="A2108" s="3">
        <f>IFERROR(__xludf.DUMMYFUNCTION("""COMPUTED_VALUE"""),666571.0)</f>
        <v>666571</v>
      </c>
    </row>
    <row r="2109">
      <c r="A2109" s="3">
        <f>IFERROR(__xludf.DUMMYFUNCTION("""COMPUTED_VALUE"""),609565.0)</f>
        <v>609565</v>
      </c>
    </row>
    <row r="2110">
      <c r="A2110" s="3">
        <f>IFERROR(__xludf.DUMMYFUNCTION("""COMPUTED_VALUE"""),109215.0)</f>
        <v>109215</v>
      </c>
    </row>
    <row r="2111">
      <c r="A2111" s="3">
        <f>IFERROR(__xludf.DUMMYFUNCTION("""COMPUTED_VALUE"""),1058039.0)</f>
        <v>1058039</v>
      </c>
    </row>
    <row r="2112">
      <c r="A2112" s="3">
        <f>IFERROR(__xludf.DUMMYFUNCTION("""COMPUTED_VALUE"""),1147975.0)</f>
        <v>1147975</v>
      </c>
    </row>
    <row r="2113">
      <c r="A2113" s="3">
        <f>IFERROR(__xludf.DUMMYFUNCTION("""COMPUTED_VALUE"""),852482.0)</f>
        <v>852482</v>
      </c>
    </row>
    <row r="2114">
      <c r="A2114" s="3">
        <f>IFERROR(__xludf.DUMMYFUNCTION("""COMPUTED_VALUE"""),340078.0)</f>
        <v>340078</v>
      </c>
    </row>
    <row r="2115">
      <c r="A2115" s="3">
        <f>IFERROR(__xludf.DUMMYFUNCTION("""COMPUTED_VALUE"""),112931.0)</f>
        <v>112931</v>
      </c>
    </row>
    <row r="2116">
      <c r="A2116" s="3">
        <f>IFERROR(__xludf.DUMMYFUNCTION("""COMPUTED_VALUE"""),1654767.0)</f>
        <v>1654767</v>
      </c>
    </row>
    <row r="2117">
      <c r="A2117" s="3">
        <f>IFERROR(__xludf.DUMMYFUNCTION("""COMPUTED_VALUE"""),1532784.0)</f>
        <v>1532784</v>
      </c>
    </row>
    <row r="2118">
      <c r="A2118" s="3">
        <f>IFERROR(__xludf.DUMMYFUNCTION("""COMPUTED_VALUE"""),620504.0)</f>
        <v>620504</v>
      </c>
    </row>
    <row r="2119">
      <c r="A2119" s="3">
        <f>IFERROR(__xludf.DUMMYFUNCTION("""COMPUTED_VALUE"""),1162739.0)</f>
        <v>1162739</v>
      </c>
    </row>
    <row r="2120">
      <c r="A2120" s="3">
        <f>IFERROR(__xludf.DUMMYFUNCTION("""COMPUTED_VALUE"""),1234705.0)</f>
        <v>1234705</v>
      </c>
    </row>
    <row r="2121">
      <c r="A2121" s="3">
        <f>IFERROR(__xludf.DUMMYFUNCTION("""COMPUTED_VALUE"""),507137.0)</f>
        <v>507137</v>
      </c>
    </row>
    <row r="2122">
      <c r="A2122" s="3">
        <f>IFERROR(__xludf.DUMMYFUNCTION("""COMPUTED_VALUE"""),164574.0)</f>
        <v>164574</v>
      </c>
    </row>
    <row r="2123">
      <c r="A2123" s="3">
        <f>IFERROR(__xludf.DUMMYFUNCTION("""COMPUTED_VALUE"""),2647046.0)</f>
        <v>2647046</v>
      </c>
    </row>
    <row r="2124">
      <c r="A2124" s="3">
        <f>IFERROR(__xludf.DUMMYFUNCTION("""COMPUTED_VALUE"""),1044365.0)</f>
        <v>1044365</v>
      </c>
    </row>
    <row r="2125">
      <c r="A2125" s="3">
        <f>IFERROR(__xludf.DUMMYFUNCTION("""COMPUTED_VALUE"""),40738.0)</f>
        <v>40738</v>
      </c>
    </row>
    <row r="2126">
      <c r="A2126" s="3">
        <f>IFERROR(__xludf.DUMMYFUNCTION("""COMPUTED_VALUE"""),56373.0)</f>
        <v>56373</v>
      </c>
    </row>
    <row r="2127">
      <c r="A2127" s="3">
        <f>IFERROR(__xludf.DUMMYFUNCTION("""COMPUTED_VALUE"""),1279052.0)</f>
        <v>1279052</v>
      </c>
    </row>
    <row r="2128">
      <c r="A2128" s="3">
        <f>IFERROR(__xludf.DUMMYFUNCTION("""COMPUTED_VALUE"""),534000.0)</f>
        <v>534000</v>
      </c>
    </row>
    <row r="2129">
      <c r="A2129" s="3">
        <f>IFERROR(__xludf.DUMMYFUNCTION("""COMPUTED_VALUE"""),387.0)</f>
        <v>387</v>
      </c>
    </row>
    <row r="2130">
      <c r="A2130" s="3">
        <f>IFERROR(__xludf.DUMMYFUNCTION("""COMPUTED_VALUE"""),82.0)</f>
        <v>82</v>
      </c>
    </row>
    <row r="2131">
      <c r="A2131" s="3">
        <f>IFERROR(__xludf.DUMMYFUNCTION("""COMPUTED_VALUE"""),75366.0)</f>
        <v>75366</v>
      </c>
    </row>
    <row r="2132">
      <c r="A2132" s="3">
        <f>IFERROR(__xludf.DUMMYFUNCTION("""COMPUTED_VALUE"""),1753818.0)</f>
        <v>1753818</v>
      </c>
    </row>
    <row r="2133">
      <c r="A2133" s="3">
        <f>IFERROR(__xludf.DUMMYFUNCTION("""COMPUTED_VALUE"""),1512273.0)</f>
        <v>1512273</v>
      </c>
    </row>
    <row r="2134">
      <c r="A2134" s="3">
        <f>IFERROR(__xludf.DUMMYFUNCTION("""COMPUTED_VALUE"""),2066758.0)</f>
        <v>2066758</v>
      </c>
    </row>
    <row r="2135">
      <c r="A2135" s="3">
        <f>IFERROR(__xludf.DUMMYFUNCTION("""COMPUTED_VALUE"""),26.0)</f>
        <v>26</v>
      </c>
    </row>
    <row r="2136">
      <c r="A2136" s="3">
        <f>IFERROR(__xludf.DUMMYFUNCTION("""COMPUTED_VALUE"""),182.0)</f>
        <v>182</v>
      </c>
    </row>
    <row r="2137">
      <c r="A2137" s="3">
        <f>IFERROR(__xludf.DUMMYFUNCTION("""COMPUTED_VALUE"""),107488.0)</f>
        <v>107488</v>
      </c>
    </row>
    <row r="2138">
      <c r="A2138" s="3">
        <f>IFERROR(__xludf.DUMMYFUNCTION("""COMPUTED_VALUE"""),18000.0)</f>
        <v>18000</v>
      </c>
    </row>
    <row r="2139">
      <c r="A2139" s="3">
        <f>IFERROR(__xludf.DUMMYFUNCTION("""COMPUTED_VALUE"""),498719.0)</f>
        <v>498719</v>
      </c>
    </row>
    <row r="2140">
      <c r="A2140" s="3">
        <f>IFERROR(__xludf.DUMMYFUNCTION("""COMPUTED_VALUE"""),60.0)</f>
        <v>60</v>
      </c>
    </row>
    <row r="2141">
      <c r="A2141" s="3">
        <f>IFERROR(__xludf.DUMMYFUNCTION("""COMPUTED_VALUE"""),2558957.0)</f>
        <v>2558957</v>
      </c>
    </row>
    <row r="2142">
      <c r="A2142" s="3">
        <f>IFERROR(__xludf.DUMMYFUNCTION("""COMPUTED_VALUE"""),1359901.0)</f>
        <v>1359901</v>
      </c>
    </row>
    <row r="2143">
      <c r="A2143" s="3">
        <f>IFERROR(__xludf.DUMMYFUNCTION("""COMPUTED_VALUE"""),26849.0)</f>
        <v>26849</v>
      </c>
    </row>
    <row r="2144">
      <c r="A2144" s="3">
        <f>IFERROR(__xludf.DUMMYFUNCTION("""COMPUTED_VALUE"""),455844.0)</f>
        <v>455844</v>
      </c>
    </row>
    <row r="2145">
      <c r="A2145" s="3">
        <f>IFERROR(__xludf.DUMMYFUNCTION("""COMPUTED_VALUE"""),876076.0)</f>
        <v>876076</v>
      </c>
    </row>
    <row r="2146">
      <c r="A2146" s="3">
        <f>IFERROR(__xludf.DUMMYFUNCTION("""COMPUTED_VALUE"""),43256.0)</f>
        <v>43256</v>
      </c>
    </row>
    <row r="2147">
      <c r="A2147" s="3">
        <f>IFERROR(__xludf.DUMMYFUNCTION("""COMPUTED_VALUE"""),1969992.0)</f>
        <v>1969992</v>
      </c>
    </row>
    <row r="2148">
      <c r="A2148" s="3">
        <f>IFERROR(__xludf.DUMMYFUNCTION("""COMPUTED_VALUE"""),755066.0)</f>
        <v>755066</v>
      </c>
    </row>
    <row r="2149">
      <c r="A2149" s="3">
        <f>IFERROR(__xludf.DUMMYFUNCTION("""COMPUTED_VALUE"""),520000.0)</f>
        <v>520000</v>
      </c>
    </row>
    <row r="2150">
      <c r="A2150" s="3">
        <f>IFERROR(__xludf.DUMMYFUNCTION("""COMPUTED_VALUE"""),63.0)</f>
        <v>63</v>
      </c>
    </row>
    <row r="2151">
      <c r="A2151" s="3">
        <f>IFERROR(__xludf.DUMMYFUNCTION("""COMPUTED_VALUE"""),855200.0)</f>
        <v>855200</v>
      </c>
    </row>
    <row r="2152">
      <c r="A2152" s="3">
        <f>IFERROR(__xludf.DUMMYFUNCTION("""COMPUTED_VALUE"""),897431.0)</f>
        <v>897431</v>
      </c>
    </row>
    <row r="2153">
      <c r="A2153" s="3">
        <f>IFERROR(__xludf.DUMMYFUNCTION("""COMPUTED_VALUE"""),15475.0)</f>
        <v>15475</v>
      </c>
    </row>
    <row r="2154">
      <c r="A2154" s="3">
        <f>IFERROR(__xludf.DUMMYFUNCTION("""COMPUTED_VALUE"""),209648.0)</f>
        <v>209648</v>
      </c>
    </row>
    <row r="2155">
      <c r="A2155" s="3">
        <f>IFERROR(__xludf.DUMMYFUNCTION("""COMPUTED_VALUE"""),1952023.0)</f>
        <v>1952023</v>
      </c>
    </row>
    <row r="2156">
      <c r="A2156" s="3">
        <f>IFERROR(__xludf.DUMMYFUNCTION("""COMPUTED_VALUE"""),439213.0)</f>
        <v>439213</v>
      </c>
    </row>
    <row r="2157">
      <c r="A2157" s="3">
        <f>IFERROR(__xludf.DUMMYFUNCTION("""COMPUTED_VALUE"""),522539.0)</f>
        <v>522539</v>
      </c>
    </row>
    <row r="2158">
      <c r="A2158" s="3">
        <f>IFERROR(__xludf.DUMMYFUNCTION("""COMPUTED_VALUE"""),683642.0)</f>
        <v>683642</v>
      </c>
    </row>
    <row r="2159">
      <c r="A2159" s="3">
        <f>IFERROR(__xludf.DUMMYFUNCTION("""COMPUTED_VALUE"""),1013717.0)</f>
        <v>1013717</v>
      </c>
    </row>
    <row r="2160">
      <c r="A2160" s="3">
        <f>IFERROR(__xludf.DUMMYFUNCTION("""COMPUTED_VALUE"""),446476.0)</f>
        <v>446476</v>
      </c>
    </row>
    <row r="2161">
      <c r="A2161" s="3">
        <f>IFERROR(__xludf.DUMMYFUNCTION("""COMPUTED_VALUE"""),672465.0)</f>
        <v>672465</v>
      </c>
    </row>
    <row r="2162">
      <c r="A2162" s="3">
        <f>IFERROR(__xludf.DUMMYFUNCTION("""COMPUTED_VALUE"""),624033.0)</f>
        <v>624033</v>
      </c>
    </row>
    <row r="2163">
      <c r="A2163" s="3">
        <f>IFERROR(__xludf.DUMMYFUNCTION("""COMPUTED_VALUE"""),511122.0)</f>
        <v>511122</v>
      </c>
    </row>
    <row r="2164">
      <c r="A2164" s="3">
        <f>IFERROR(__xludf.DUMMYFUNCTION("""COMPUTED_VALUE"""),800848.0)</f>
        <v>800848</v>
      </c>
    </row>
    <row r="2165">
      <c r="A2165" s="3">
        <f>IFERROR(__xludf.DUMMYFUNCTION("""COMPUTED_VALUE"""),476563.0)</f>
        <v>476563</v>
      </c>
    </row>
    <row r="2166">
      <c r="A2166" s="3">
        <f>IFERROR(__xludf.DUMMYFUNCTION("""COMPUTED_VALUE"""),46933.0)</f>
        <v>46933</v>
      </c>
    </row>
    <row r="2167">
      <c r="A2167" s="3">
        <f>IFERROR(__xludf.DUMMYFUNCTION("""COMPUTED_VALUE"""),471463.0)</f>
        <v>471463</v>
      </c>
    </row>
    <row r="2168">
      <c r="A2168" s="3">
        <f>IFERROR(__xludf.DUMMYFUNCTION("""COMPUTED_VALUE"""),145.0)</f>
        <v>145</v>
      </c>
    </row>
    <row r="2169">
      <c r="A2169" s="3">
        <f>IFERROR(__xludf.DUMMYFUNCTION("""COMPUTED_VALUE"""),490577.0)</f>
        <v>490577</v>
      </c>
    </row>
    <row r="2170">
      <c r="A2170" s="3">
        <f>IFERROR(__xludf.DUMMYFUNCTION("""COMPUTED_VALUE"""),1289572.0)</f>
        <v>1289572</v>
      </c>
    </row>
    <row r="2171">
      <c r="A2171" s="3">
        <f>IFERROR(__xludf.DUMMYFUNCTION("""COMPUTED_VALUE"""),788964.0)</f>
        <v>788964</v>
      </c>
    </row>
    <row r="2172">
      <c r="A2172" s="3">
        <f>IFERROR(__xludf.DUMMYFUNCTION("""COMPUTED_VALUE"""),656134.0)</f>
        <v>656134</v>
      </c>
    </row>
    <row r="2173">
      <c r="A2173" s="3">
        <f>IFERROR(__xludf.DUMMYFUNCTION("""COMPUTED_VALUE"""),1556162.0)</f>
        <v>1556162</v>
      </c>
    </row>
    <row r="2174">
      <c r="A2174" s="3">
        <f>IFERROR(__xludf.DUMMYFUNCTION("""COMPUTED_VALUE"""),1328444.0)</f>
        <v>1328444</v>
      </c>
    </row>
    <row r="2175">
      <c r="A2175" s="3">
        <f>IFERROR(__xludf.DUMMYFUNCTION("""COMPUTED_VALUE"""),1277470.0)</f>
        <v>1277470</v>
      </c>
    </row>
    <row r="2176">
      <c r="A2176" s="3">
        <f>IFERROR(__xludf.DUMMYFUNCTION("""COMPUTED_VALUE"""),510826.0)</f>
        <v>510826</v>
      </c>
    </row>
    <row r="2177">
      <c r="A2177" s="3">
        <f>IFERROR(__xludf.DUMMYFUNCTION("""COMPUTED_VALUE"""),77025.0)</f>
        <v>77025</v>
      </c>
    </row>
    <row r="2178">
      <c r="A2178" s="3">
        <f>IFERROR(__xludf.DUMMYFUNCTION("""COMPUTED_VALUE"""),589439.0)</f>
        <v>589439</v>
      </c>
    </row>
    <row r="2179">
      <c r="A2179" s="3">
        <f>IFERROR(__xludf.DUMMYFUNCTION("""COMPUTED_VALUE"""),2002418.0)</f>
        <v>2002418</v>
      </c>
    </row>
    <row r="2180">
      <c r="A2180" s="3">
        <f>IFERROR(__xludf.DUMMYFUNCTION("""COMPUTED_VALUE"""),477369.0)</f>
        <v>477369</v>
      </c>
    </row>
    <row r="2181">
      <c r="A2181" s="3">
        <f>IFERROR(__xludf.DUMMYFUNCTION("""COMPUTED_VALUE"""),1572029.0)</f>
        <v>1572029</v>
      </c>
    </row>
    <row r="2182">
      <c r="A2182" s="3">
        <f>IFERROR(__xludf.DUMMYFUNCTION("""COMPUTED_VALUE"""),685014.0)</f>
        <v>685014</v>
      </c>
    </row>
    <row r="2183">
      <c r="A2183" s="3">
        <f>IFERROR(__xludf.DUMMYFUNCTION("""COMPUTED_VALUE"""),3556740.0)</f>
        <v>3556740</v>
      </c>
    </row>
    <row r="2184">
      <c r="A2184" s="3">
        <f>IFERROR(__xludf.DUMMYFUNCTION("""COMPUTED_VALUE"""),438469.0)</f>
        <v>438469</v>
      </c>
    </row>
    <row r="2185">
      <c r="A2185" s="3">
        <f>IFERROR(__xludf.DUMMYFUNCTION("""COMPUTED_VALUE"""),1682089.0)</f>
        <v>1682089</v>
      </c>
    </row>
    <row r="2186">
      <c r="A2186" s="3">
        <f>IFERROR(__xludf.DUMMYFUNCTION("""COMPUTED_VALUE"""),996481.0)</f>
        <v>996481</v>
      </c>
    </row>
    <row r="2187">
      <c r="A2187" s="3">
        <f>IFERROR(__xludf.DUMMYFUNCTION("""COMPUTED_VALUE"""),873885.0)</f>
        <v>873885</v>
      </c>
    </row>
    <row r="2188">
      <c r="A2188" s="3">
        <f>IFERROR(__xludf.DUMMYFUNCTION("""COMPUTED_VALUE"""),1499338.0)</f>
        <v>1499338</v>
      </c>
    </row>
    <row r="2189">
      <c r="A2189" s="3">
        <f>IFERROR(__xludf.DUMMYFUNCTION("""COMPUTED_VALUE"""),480814.0)</f>
        <v>480814</v>
      </c>
    </row>
    <row r="2190">
      <c r="A2190" s="3">
        <f>IFERROR(__xludf.DUMMYFUNCTION("""COMPUTED_VALUE"""),73384.0)</f>
        <v>73384</v>
      </c>
    </row>
    <row r="2191">
      <c r="A2191" s="3">
        <f>IFERROR(__xludf.DUMMYFUNCTION("""COMPUTED_VALUE"""),309497.0)</f>
        <v>309497</v>
      </c>
    </row>
    <row r="2192">
      <c r="A2192" s="3">
        <f>IFERROR(__xludf.DUMMYFUNCTION("""COMPUTED_VALUE"""),828729.0)</f>
        <v>828729</v>
      </c>
    </row>
    <row r="2193">
      <c r="A2193" s="3">
        <f>IFERROR(__xludf.DUMMYFUNCTION("""COMPUTED_VALUE"""),14180.0)</f>
        <v>14180</v>
      </c>
    </row>
    <row r="2194">
      <c r="A2194" s="3">
        <f>IFERROR(__xludf.DUMMYFUNCTION("""COMPUTED_VALUE"""),19348.0)</f>
        <v>19348</v>
      </c>
    </row>
    <row r="2195">
      <c r="A2195" s="3">
        <f>IFERROR(__xludf.DUMMYFUNCTION("""COMPUTED_VALUE"""),382787.0)</f>
        <v>382787</v>
      </c>
    </row>
    <row r="2196">
      <c r="A2196" s="3">
        <f>IFERROR(__xludf.DUMMYFUNCTION("""COMPUTED_VALUE"""),1998913.0)</f>
        <v>1998913</v>
      </c>
    </row>
    <row r="2197">
      <c r="A2197" s="3">
        <f>IFERROR(__xludf.DUMMYFUNCTION("""COMPUTED_VALUE"""),160000.0)</f>
        <v>160000</v>
      </c>
    </row>
    <row r="2198">
      <c r="A2198" s="3">
        <f>IFERROR(__xludf.DUMMYFUNCTION("""COMPUTED_VALUE"""),1003672.0)</f>
        <v>1003672</v>
      </c>
    </row>
    <row r="2199">
      <c r="A2199" s="3">
        <f>IFERROR(__xludf.DUMMYFUNCTION("""COMPUTED_VALUE"""),28137.0)</f>
        <v>28137</v>
      </c>
    </row>
    <row r="2200">
      <c r="A2200" s="3">
        <f>IFERROR(__xludf.DUMMYFUNCTION("""COMPUTED_VALUE"""),118237.0)</f>
        <v>118237</v>
      </c>
    </row>
    <row r="2201">
      <c r="A2201" s="3">
        <f>IFERROR(__xludf.DUMMYFUNCTION("""COMPUTED_VALUE"""),92.0)</f>
        <v>92</v>
      </c>
    </row>
    <row r="2202">
      <c r="A2202" s="3">
        <f>IFERROR(__xludf.DUMMYFUNCTION("""COMPUTED_VALUE"""),2175981.0)</f>
        <v>2175981</v>
      </c>
    </row>
    <row r="2203">
      <c r="A2203" s="3">
        <f>IFERROR(__xludf.DUMMYFUNCTION("""COMPUTED_VALUE"""),100733.0)</f>
        <v>100733</v>
      </c>
    </row>
    <row r="2204">
      <c r="A2204" s="3">
        <f>IFERROR(__xludf.DUMMYFUNCTION("""COMPUTED_VALUE"""),1650000.0)</f>
        <v>1650000</v>
      </c>
    </row>
    <row r="2205">
      <c r="A2205" s="3">
        <f>IFERROR(__xludf.DUMMYFUNCTION("""COMPUTED_VALUE"""),132868.0)</f>
        <v>132868</v>
      </c>
    </row>
    <row r="2206">
      <c r="A2206" s="3">
        <f>IFERROR(__xludf.DUMMYFUNCTION("""COMPUTED_VALUE"""),45024.0)</f>
        <v>45024</v>
      </c>
    </row>
    <row r="2207">
      <c r="A2207" s="3">
        <f>IFERROR(__xludf.DUMMYFUNCTION("""COMPUTED_VALUE"""),343962.0)</f>
        <v>343962</v>
      </c>
    </row>
    <row r="2208">
      <c r="A2208" s="3">
        <f>IFERROR(__xludf.DUMMYFUNCTION("""COMPUTED_VALUE"""),25.0)</f>
        <v>25</v>
      </c>
    </row>
    <row r="2209">
      <c r="A2209" s="3">
        <f>IFERROR(__xludf.DUMMYFUNCTION("""COMPUTED_VALUE"""),395258.0)</f>
        <v>395258</v>
      </c>
    </row>
    <row r="2210">
      <c r="A2210" s="3">
        <f>IFERROR(__xludf.DUMMYFUNCTION("""COMPUTED_VALUE"""),9.0)</f>
        <v>9</v>
      </c>
    </row>
    <row r="2211">
      <c r="A2211" s="3">
        <f>IFERROR(__xludf.DUMMYFUNCTION("""COMPUTED_VALUE"""),410185.0)</f>
        <v>410185</v>
      </c>
    </row>
    <row r="2212">
      <c r="A2212" s="3">
        <f>IFERROR(__xludf.DUMMYFUNCTION("""COMPUTED_VALUE"""),26070.0)</f>
        <v>26070</v>
      </c>
    </row>
    <row r="2213">
      <c r="A2213" s="3">
        <f>IFERROR(__xludf.DUMMYFUNCTION("""COMPUTED_VALUE"""),827360.0)</f>
        <v>827360</v>
      </c>
    </row>
    <row r="2214">
      <c r="A2214" s="3">
        <f>IFERROR(__xludf.DUMMYFUNCTION("""COMPUTED_VALUE"""),2816193.0)</f>
        <v>2816193</v>
      </c>
    </row>
    <row r="2215">
      <c r="A2215" s="3">
        <f>IFERROR(__xludf.DUMMYFUNCTION("""COMPUTED_VALUE"""),57702.0)</f>
        <v>57702</v>
      </c>
    </row>
    <row r="2216">
      <c r="A2216" s="3">
        <f>IFERROR(__xludf.DUMMYFUNCTION("""COMPUTED_VALUE"""),2620604.0)</f>
        <v>2620604</v>
      </c>
    </row>
    <row r="2217">
      <c r="A2217" s="3">
        <f>IFERROR(__xludf.DUMMYFUNCTION("""COMPUTED_VALUE"""),170.0)</f>
        <v>170</v>
      </c>
    </row>
    <row r="2218">
      <c r="A2218" s="3">
        <f>IFERROR(__xludf.DUMMYFUNCTION("""COMPUTED_VALUE"""),1153066.0)</f>
        <v>1153066</v>
      </c>
    </row>
    <row r="2219">
      <c r="A2219" s="3">
        <f>IFERROR(__xludf.DUMMYFUNCTION("""COMPUTED_VALUE"""),2485970.0)</f>
        <v>2485970</v>
      </c>
    </row>
    <row r="2220">
      <c r="A2220" s="3">
        <f>IFERROR(__xludf.DUMMYFUNCTION("""COMPUTED_VALUE"""),1083241.0)</f>
        <v>1083241</v>
      </c>
    </row>
    <row r="2221">
      <c r="A2221" s="3">
        <f>IFERROR(__xludf.DUMMYFUNCTION("""COMPUTED_VALUE"""),15837.0)</f>
        <v>15837</v>
      </c>
    </row>
    <row r="2222">
      <c r="A2222" s="3">
        <f>IFERROR(__xludf.DUMMYFUNCTION("""COMPUTED_VALUE"""),822870.0)</f>
        <v>822870</v>
      </c>
    </row>
    <row r="2223">
      <c r="A2223" s="3">
        <f>IFERROR(__xludf.DUMMYFUNCTION("""COMPUTED_VALUE"""),3014651.0)</f>
        <v>3014651</v>
      </c>
    </row>
    <row r="2224">
      <c r="A2224" s="3">
        <f>IFERROR(__xludf.DUMMYFUNCTION("""COMPUTED_VALUE"""),816.0)</f>
        <v>816</v>
      </c>
    </row>
    <row r="2225">
      <c r="A2225" s="3">
        <f>IFERROR(__xludf.DUMMYFUNCTION("""COMPUTED_VALUE"""),850000.0)</f>
        <v>850000</v>
      </c>
    </row>
    <row r="2226">
      <c r="A2226" s="3">
        <f>IFERROR(__xludf.DUMMYFUNCTION("""COMPUTED_VALUE"""),2719803.0)</f>
        <v>2719803</v>
      </c>
    </row>
    <row r="2227">
      <c r="A2227" s="3">
        <f>IFERROR(__xludf.DUMMYFUNCTION("""COMPUTED_VALUE"""),460764.0)</f>
        <v>460764</v>
      </c>
    </row>
    <row r="2228">
      <c r="A2228" s="3">
        <f>IFERROR(__xludf.DUMMYFUNCTION("""COMPUTED_VALUE"""),361080.0)</f>
        <v>361080</v>
      </c>
    </row>
    <row r="2229">
      <c r="A2229" s="3">
        <f>IFERROR(__xludf.DUMMYFUNCTION("""COMPUTED_VALUE"""),75673.0)</f>
        <v>75673</v>
      </c>
    </row>
    <row r="2230">
      <c r="A2230" s="3">
        <f>IFERROR(__xludf.DUMMYFUNCTION("""COMPUTED_VALUE"""),847371.0)</f>
        <v>847371</v>
      </c>
    </row>
    <row r="2231">
      <c r="A2231" s="3">
        <f>IFERROR(__xludf.DUMMYFUNCTION("""COMPUTED_VALUE"""),886611.0)</f>
        <v>886611</v>
      </c>
    </row>
    <row r="2232">
      <c r="A2232" s="3">
        <f>IFERROR(__xludf.DUMMYFUNCTION("""COMPUTED_VALUE"""),2266502.0)</f>
        <v>2266502</v>
      </c>
    </row>
    <row r="2233">
      <c r="A2233" s="3">
        <f>IFERROR(__xludf.DUMMYFUNCTION("""COMPUTED_VALUE"""),258900.0)</f>
        <v>258900</v>
      </c>
    </row>
    <row r="2234">
      <c r="A2234" s="3">
        <f>IFERROR(__xludf.DUMMYFUNCTION("""COMPUTED_VALUE"""),68136.0)</f>
        <v>68136</v>
      </c>
    </row>
    <row r="2235">
      <c r="A2235" s="3">
        <f>IFERROR(__xludf.DUMMYFUNCTION("""COMPUTED_VALUE"""),146754.0)</f>
        <v>146754</v>
      </c>
    </row>
    <row r="2236">
      <c r="A2236" s="3">
        <f>IFERROR(__xludf.DUMMYFUNCTION("""COMPUTED_VALUE"""),1761151.0)</f>
        <v>1761151</v>
      </c>
    </row>
    <row r="2237">
      <c r="A2237" s="3">
        <f>IFERROR(__xludf.DUMMYFUNCTION("""COMPUTED_VALUE"""),474218.0)</f>
        <v>474218</v>
      </c>
    </row>
    <row r="2238">
      <c r="A2238" s="3">
        <f>IFERROR(__xludf.DUMMYFUNCTION("""COMPUTED_VALUE"""),1015458.0)</f>
        <v>1015458</v>
      </c>
    </row>
    <row r="2239">
      <c r="A2239" s="3">
        <f>IFERROR(__xludf.DUMMYFUNCTION("""COMPUTED_VALUE"""),81448.0)</f>
        <v>81448</v>
      </c>
    </row>
    <row r="2240">
      <c r="A2240" s="3">
        <f>IFERROR(__xludf.DUMMYFUNCTION("""COMPUTED_VALUE"""),62.0)</f>
        <v>62</v>
      </c>
    </row>
    <row r="2241">
      <c r="A2241" s="3">
        <f>IFERROR(__xludf.DUMMYFUNCTION("""COMPUTED_VALUE"""),796277.0)</f>
        <v>796277</v>
      </c>
    </row>
    <row r="2242">
      <c r="A2242" s="3">
        <f>IFERROR(__xludf.DUMMYFUNCTION("""COMPUTED_VALUE"""),797112.0)</f>
        <v>797112</v>
      </c>
    </row>
    <row r="2243">
      <c r="A2243" s="3">
        <f>IFERROR(__xludf.DUMMYFUNCTION("""COMPUTED_VALUE"""),532946.0)</f>
        <v>532946</v>
      </c>
    </row>
    <row r="2244">
      <c r="A2244" s="3">
        <f>IFERROR(__xludf.DUMMYFUNCTION("""COMPUTED_VALUE"""),614349.0)</f>
        <v>614349</v>
      </c>
    </row>
    <row r="2245">
      <c r="A2245" s="3">
        <f>IFERROR(__xludf.DUMMYFUNCTION("""COMPUTED_VALUE"""),1296048.0)</f>
        <v>1296048</v>
      </c>
    </row>
    <row r="2246">
      <c r="A2246" s="3">
        <f>IFERROR(__xludf.DUMMYFUNCTION("""COMPUTED_VALUE"""),15.0)</f>
        <v>15</v>
      </c>
    </row>
    <row r="2247">
      <c r="A2247" s="3">
        <f>IFERROR(__xludf.DUMMYFUNCTION("""COMPUTED_VALUE"""),838568.0)</f>
        <v>838568</v>
      </c>
    </row>
    <row r="2248">
      <c r="A2248" s="3">
        <f>IFERROR(__xludf.DUMMYFUNCTION("""COMPUTED_VALUE"""),613915.0)</f>
        <v>613915</v>
      </c>
    </row>
    <row r="2249">
      <c r="A2249" s="3">
        <f>IFERROR(__xludf.DUMMYFUNCTION("""COMPUTED_VALUE"""),24868.0)</f>
        <v>24868</v>
      </c>
    </row>
    <row r="2250">
      <c r="A2250" s="3">
        <f>IFERROR(__xludf.DUMMYFUNCTION("""COMPUTED_VALUE"""),1161382.0)</f>
        <v>1161382</v>
      </c>
    </row>
    <row r="2251">
      <c r="A2251" s="3">
        <f>IFERROR(__xludf.DUMMYFUNCTION("""COMPUTED_VALUE"""),904145.0)</f>
        <v>904145</v>
      </c>
    </row>
    <row r="2252">
      <c r="A2252" s="3">
        <f>IFERROR(__xludf.DUMMYFUNCTION("""COMPUTED_VALUE"""),1083545.0)</f>
        <v>1083545</v>
      </c>
    </row>
    <row r="2253">
      <c r="A2253" s="3">
        <f>IFERROR(__xludf.DUMMYFUNCTION("""COMPUTED_VALUE"""),954842.0)</f>
        <v>954842</v>
      </c>
    </row>
    <row r="2254">
      <c r="A2254" s="3">
        <f>IFERROR(__xludf.DUMMYFUNCTION("""COMPUTED_VALUE"""),716215.0)</f>
        <v>716215</v>
      </c>
    </row>
    <row r="2255">
      <c r="A2255" s="3">
        <f>IFERROR(__xludf.DUMMYFUNCTION("""COMPUTED_VALUE"""),847539.0)</f>
        <v>847539</v>
      </c>
    </row>
    <row r="2256">
      <c r="A2256" s="3">
        <f>IFERROR(__xludf.DUMMYFUNCTION("""COMPUTED_VALUE"""),108.0)</f>
        <v>108</v>
      </c>
    </row>
    <row r="2257">
      <c r="A2257" s="3">
        <f>IFERROR(__xludf.DUMMYFUNCTION("""COMPUTED_VALUE"""),699220.0)</f>
        <v>699220</v>
      </c>
    </row>
    <row r="2258">
      <c r="A2258" s="3">
        <f>IFERROR(__xludf.DUMMYFUNCTION("""COMPUTED_VALUE"""),1067026.0)</f>
        <v>1067026</v>
      </c>
    </row>
    <row r="2259">
      <c r="A2259" s="3">
        <f>IFERROR(__xludf.DUMMYFUNCTION("""COMPUTED_VALUE"""),917.0)</f>
        <v>917</v>
      </c>
    </row>
    <row r="2260">
      <c r="A2260" s="3">
        <f>IFERROR(__xludf.DUMMYFUNCTION("""COMPUTED_VALUE"""),880575.0)</f>
        <v>880575</v>
      </c>
    </row>
    <row r="2261">
      <c r="A2261" s="3">
        <f>IFERROR(__xludf.DUMMYFUNCTION("""COMPUTED_VALUE"""),1017343.0)</f>
        <v>1017343</v>
      </c>
    </row>
    <row r="2262">
      <c r="A2262" s="3">
        <f>IFERROR(__xludf.DUMMYFUNCTION("""COMPUTED_VALUE"""),1124024.0)</f>
        <v>1124024</v>
      </c>
    </row>
    <row r="2263">
      <c r="A2263" s="3">
        <f>IFERROR(__xludf.DUMMYFUNCTION("""COMPUTED_VALUE"""),1642294.0)</f>
        <v>1642294</v>
      </c>
    </row>
    <row r="2264">
      <c r="A2264" s="3">
        <f>IFERROR(__xludf.DUMMYFUNCTION("""COMPUTED_VALUE"""),1156731.0)</f>
        <v>1156731</v>
      </c>
    </row>
    <row r="2265">
      <c r="A2265" s="3">
        <f>IFERROR(__xludf.DUMMYFUNCTION("""COMPUTED_VALUE"""),71864.0)</f>
        <v>71864</v>
      </c>
    </row>
    <row r="2266">
      <c r="A2266" s="3">
        <f>IFERROR(__xludf.DUMMYFUNCTION("""COMPUTED_VALUE"""),70343.0)</f>
        <v>70343</v>
      </c>
    </row>
    <row r="2267">
      <c r="A2267" s="3">
        <f>IFERROR(__xludf.DUMMYFUNCTION("""COMPUTED_VALUE"""),1346904.0)</f>
        <v>1346904</v>
      </c>
    </row>
    <row r="2268">
      <c r="A2268" s="3">
        <f>IFERROR(__xludf.DUMMYFUNCTION("""COMPUTED_VALUE"""),90390.0)</f>
        <v>90390</v>
      </c>
    </row>
    <row r="2269">
      <c r="A2269" s="3">
        <f>IFERROR(__xludf.DUMMYFUNCTION("""COMPUTED_VALUE"""),1139800.0)</f>
        <v>1139800</v>
      </c>
    </row>
    <row r="2270">
      <c r="A2270" s="3">
        <f>IFERROR(__xludf.DUMMYFUNCTION("""COMPUTED_VALUE"""),794110.0)</f>
        <v>794110</v>
      </c>
    </row>
    <row r="2271">
      <c r="A2271" s="3">
        <f>IFERROR(__xludf.DUMMYFUNCTION("""COMPUTED_VALUE"""),1251502.0)</f>
        <v>1251502</v>
      </c>
    </row>
    <row r="2272">
      <c r="A2272" s="3">
        <f>IFERROR(__xludf.DUMMYFUNCTION("""COMPUTED_VALUE"""),2658491.0)</f>
        <v>2658491</v>
      </c>
    </row>
    <row r="2273">
      <c r="A2273" s="3">
        <f>IFERROR(__xludf.DUMMYFUNCTION("""COMPUTED_VALUE"""),416229.0)</f>
        <v>416229</v>
      </c>
    </row>
    <row r="2274">
      <c r="A2274" s="3">
        <f>IFERROR(__xludf.DUMMYFUNCTION("""COMPUTED_VALUE"""),353684.0)</f>
        <v>353684</v>
      </c>
    </row>
    <row r="2275">
      <c r="A2275" s="3">
        <f>IFERROR(__xludf.DUMMYFUNCTION("""COMPUTED_VALUE"""),791133.0)</f>
        <v>791133</v>
      </c>
    </row>
    <row r="2276">
      <c r="A2276" s="3">
        <f>IFERROR(__xludf.DUMMYFUNCTION("""COMPUTED_VALUE"""),95593.0)</f>
        <v>95593</v>
      </c>
    </row>
    <row r="2277">
      <c r="A2277" s="3">
        <f>IFERROR(__xludf.DUMMYFUNCTION("""COMPUTED_VALUE"""),92927.0)</f>
        <v>92927</v>
      </c>
    </row>
    <row r="2278">
      <c r="A2278" s="3">
        <f>IFERROR(__xludf.DUMMYFUNCTION("""COMPUTED_VALUE"""),28579.0)</f>
        <v>28579</v>
      </c>
    </row>
    <row r="2279">
      <c r="A2279" s="3">
        <f>IFERROR(__xludf.DUMMYFUNCTION("""COMPUTED_VALUE"""),413740.0)</f>
        <v>413740</v>
      </c>
    </row>
    <row r="2280">
      <c r="A2280" s="3">
        <f>IFERROR(__xludf.DUMMYFUNCTION("""COMPUTED_VALUE"""),872461.0)</f>
        <v>872461</v>
      </c>
    </row>
    <row r="2281">
      <c r="A2281" s="3">
        <f>IFERROR(__xludf.DUMMYFUNCTION("""COMPUTED_VALUE"""),250000.0)</f>
        <v>250000</v>
      </c>
    </row>
    <row r="2282">
      <c r="A2282" s="3">
        <f>IFERROR(__xludf.DUMMYFUNCTION("""COMPUTED_VALUE"""),1490685.0)</f>
        <v>1490685</v>
      </c>
    </row>
    <row r="2283">
      <c r="A2283" s="3">
        <f>IFERROR(__xludf.DUMMYFUNCTION("""COMPUTED_VALUE"""),523814.0)</f>
        <v>523814</v>
      </c>
    </row>
    <row r="2284">
      <c r="A2284" s="3">
        <f>IFERROR(__xludf.DUMMYFUNCTION("""COMPUTED_VALUE"""),24434.0)</f>
        <v>24434</v>
      </c>
    </row>
    <row r="2285">
      <c r="A2285" s="3">
        <f>IFERROR(__xludf.DUMMYFUNCTION("""COMPUTED_VALUE"""),17.0)</f>
        <v>17</v>
      </c>
    </row>
    <row r="2286">
      <c r="A2286" s="3">
        <f>IFERROR(__xludf.DUMMYFUNCTION("""COMPUTED_VALUE"""),866307.0)</f>
        <v>866307</v>
      </c>
    </row>
    <row r="2287">
      <c r="A2287" s="3">
        <f>IFERROR(__xludf.DUMMYFUNCTION("""COMPUTED_VALUE"""),1317316.0)</f>
        <v>1317316</v>
      </c>
    </row>
    <row r="2288">
      <c r="A2288" s="3">
        <f>IFERROR(__xludf.DUMMYFUNCTION("""COMPUTED_VALUE"""),27200.0)</f>
        <v>27200</v>
      </c>
    </row>
    <row r="2289">
      <c r="A2289" s="3">
        <f>IFERROR(__xludf.DUMMYFUNCTION("""COMPUTED_VALUE"""),104824.0)</f>
        <v>104824</v>
      </c>
    </row>
    <row r="2290">
      <c r="A2290" s="3">
        <f>IFERROR(__xludf.DUMMYFUNCTION("""COMPUTED_VALUE"""),15618.0)</f>
        <v>15618</v>
      </c>
    </row>
    <row r="2291">
      <c r="A2291" s="3">
        <f>IFERROR(__xludf.DUMMYFUNCTION("""COMPUTED_VALUE"""),54207.0)</f>
        <v>54207</v>
      </c>
    </row>
    <row r="2292">
      <c r="A2292" s="3">
        <f>IFERROR(__xludf.DUMMYFUNCTION("""COMPUTED_VALUE"""),36108.0)</f>
        <v>36108</v>
      </c>
    </row>
    <row r="2293">
      <c r="A2293" s="3">
        <f>IFERROR(__xludf.DUMMYFUNCTION("""COMPUTED_VALUE"""),26823.0)</f>
        <v>26823</v>
      </c>
    </row>
    <row r="2294">
      <c r="A2294" s="3">
        <f>IFERROR(__xludf.DUMMYFUNCTION("""COMPUTED_VALUE"""),145.0)</f>
        <v>145</v>
      </c>
    </row>
    <row r="2295">
      <c r="A2295" s="3">
        <f>IFERROR(__xludf.DUMMYFUNCTION("""COMPUTED_VALUE"""),4.0)</f>
        <v>4</v>
      </c>
    </row>
    <row r="2296">
      <c r="A2296" s="3">
        <f>IFERROR(__xludf.DUMMYFUNCTION("""COMPUTED_VALUE"""),1020348.0)</f>
        <v>1020348</v>
      </c>
    </row>
    <row r="2297">
      <c r="A2297" s="3">
        <f>IFERROR(__xludf.DUMMYFUNCTION("""COMPUTED_VALUE"""),64.0)</f>
        <v>64</v>
      </c>
    </row>
    <row r="2298">
      <c r="A2298" s="3">
        <f>IFERROR(__xludf.DUMMYFUNCTION("""COMPUTED_VALUE"""),642103.0)</f>
        <v>642103</v>
      </c>
    </row>
    <row r="2299">
      <c r="A2299" s="3">
        <f>IFERROR(__xludf.DUMMYFUNCTION("""COMPUTED_VALUE"""),929931.0)</f>
        <v>929931</v>
      </c>
    </row>
    <row r="2300">
      <c r="A2300" s="3">
        <f>IFERROR(__xludf.DUMMYFUNCTION("""COMPUTED_VALUE"""),3054284.0)</f>
        <v>3054284</v>
      </c>
    </row>
    <row r="2301">
      <c r="A2301" s="3">
        <f>IFERROR(__xludf.DUMMYFUNCTION("""COMPUTED_VALUE"""),1572363.0)</f>
        <v>1572363</v>
      </c>
    </row>
    <row r="2302">
      <c r="A2302" s="3">
        <f>IFERROR(__xludf.DUMMYFUNCTION("""COMPUTED_VALUE"""),1030115.0)</f>
        <v>1030115</v>
      </c>
    </row>
    <row r="2303">
      <c r="A2303" s="3">
        <f>IFERROR(__xludf.DUMMYFUNCTION("""COMPUTED_VALUE"""),52412.0)</f>
        <v>52412</v>
      </c>
    </row>
    <row r="2304">
      <c r="A2304" s="3">
        <f>IFERROR(__xludf.DUMMYFUNCTION("""COMPUTED_VALUE"""),1792230.0)</f>
        <v>1792230</v>
      </c>
    </row>
    <row r="2305">
      <c r="A2305" s="3">
        <f>IFERROR(__xludf.DUMMYFUNCTION("""COMPUTED_VALUE"""),510000.0)</f>
        <v>510000</v>
      </c>
    </row>
    <row r="2306">
      <c r="A2306" s="3">
        <f>IFERROR(__xludf.DUMMYFUNCTION("""COMPUTED_VALUE"""),387.0)</f>
        <v>387</v>
      </c>
    </row>
    <row r="2307">
      <c r="A2307" s="3">
        <f>IFERROR(__xludf.DUMMYFUNCTION("""COMPUTED_VALUE"""),77698.0)</f>
        <v>77698</v>
      </c>
    </row>
    <row r="2308">
      <c r="A2308" s="3">
        <f>IFERROR(__xludf.DUMMYFUNCTION("""COMPUTED_VALUE"""),38.0)</f>
        <v>38</v>
      </c>
    </row>
    <row r="2309">
      <c r="A2309" s="3">
        <f>IFERROR(__xludf.DUMMYFUNCTION("""COMPUTED_VALUE"""),279976.0)</f>
        <v>279976</v>
      </c>
    </row>
    <row r="2310">
      <c r="A2310" s="3">
        <f>IFERROR(__xludf.DUMMYFUNCTION("""COMPUTED_VALUE"""),119.0)</f>
        <v>119</v>
      </c>
    </row>
    <row r="2311">
      <c r="A2311" s="3">
        <f>IFERROR(__xludf.DUMMYFUNCTION("""COMPUTED_VALUE"""),391540.0)</f>
        <v>391540</v>
      </c>
    </row>
    <row r="2312">
      <c r="A2312" s="3">
        <f>IFERROR(__xludf.DUMMYFUNCTION("""COMPUTED_VALUE"""),725546.0)</f>
        <v>725546</v>
      </c>
    </row>
    <row r="2313">
      <c r="A2313" s="3">
        <f>IFERROR(__xludf.DUMMYFUNCTION("""COMPUTED_VALUE"""),100000.0)</f>
        <v>100000</v>
      </c>
    </row>
    <row r="2314">
      <c r="A2314" s="3">
        <f>IFERROR(__xludf.DUMMYFUNCTION("""COMPUTED_VALUE"""),115.0)</f>
        <v>115</v>
      </c>
    </row>
    <row r="2315">
      <c r="A2315" s="3">
        <f>IFERROR(__xludf.DUMMYFUNCTION("""COMPUTED_VALUE"""),28334.0)</f>
        <v>28334</v>
      </c>
    </row>
    <row r="2316">
      <c r="A2316" s="3">
        <f>IFERROR(__xludf.DUMMYFUNCTION("""COMPUTED_VALUE"""),681900.0)</f>
        <v>681900</v>
      </c>
    </row>
    <row r="2317">
      <c r="A2317" s="3">
        <f>IFERROR(__xludf.DUMMYFUNCTION("""COMPUTED_VALUE"""),580000.0)</f>
        <v>580000</v>
      </c>
    </row>
    <row r="2318">
      <c r="A2318" s="3">
        <f>IFERROR(__xludf.DUMMYFUNCTION("""COMPUTED_VALUE"""),575000.0)</f>
        <v>575000</v>
      </c>
    </row>
    <row r="2319">
      <c r="A2319" s="3">
        <f>IFERROR(__xludf.DUMMYFUNCTION("""COMPUTED_VALUE"""),123455.0)</f>
        <v>123455</v>
      </c>
    </row>
    <row r="2320">
      <c r="A2320" s="3">
        <f>IFERROR(__xludf.DUMMYFUNCTION("""COMPUTED_VALUE"""),661762.0)</f>
        <v>661762</v>
      </c>
    </row>
    <row r="2321">
      <c r="A2321" s="3">
        <f>IFERROR(__xludf.DUMMYFUNCTION("""COMPUTED_VALUE"""),820000.0)</f>
        <v>820000</v>
      </c>
    </row>
    <row r="2322">
      <c r="A2322" s="3">
        <f>IFERROR(__xludf.DUMMYFUNCTION("""COMPUTED_VALUE"""),3000000.0)</f>
        <v>3000000</v>
      </c>
    </row>
    <row r="2323">
      <c r="A2323" s="3">
        <f>IFERROR(__xludf.DUMMYFUNCTION("""COMPUTED_VALUE"""),482344.0)</f>
        <v>482344</v>
      </c>
    </row>
    <row r="2324">
      <c r="A2324" s="3">
        <f>IFERROR(__xludf.DUMMYFUNCTION("""COMPUTED_VALUE"""),36094.0)</f>
        <v>36094</v>
      </c>
    </row>
    <row r="2325">
      <c r="A2325" s="3">
        <f>IFERROR(__xludf.DUMMYFUNCTION("""COMPUTED_VALUE"""),340.0)</f>
        <v>340</v>
      </c>
    </row>
    <row r="2326">
      <c r="A2326" s="3">
        <f>IFERROR(__xludf.DUMMYFUNCTION("""COMPUTED_VALUE"""),20362.0)</f>
        <v>20362</v>
      </c>
    </row>
    <row r="2327">
      <c r="A2327" s="3">
        <f>IFERROR(__xludf.DUMMYFUNCTION("""COMPUTED_VALUE"""),41439.0)</f>
        <v>41439</v>
      </c>
    </row>
    <row r="2328">
      <c r="A2328" s="3">
        <f>IFERROR(__xludf.DUMMYFUNCTION("""COMPUTED_VALUE"""),507118.0)</f>
        <v>507118</v>
      </c>
    </row>
    <row r="2329">
      <c r="A2329" s="3">
        <f>IFERROR(__xludf.DUMMYFUNCTION("""COMPUTED_VALUE"""),353144.0)</f>
        <v>353144</v>
      </c>
    </row>
    <row r="2330">
      <c r="A2330" s="3">
        <f>IFERROR(__xludf.DUMMYFUNCTION("""COMPUTED_VALUE"""),1513462.0)</f>
        <v>1513462</v>
      </c>
    </row>
    <row r="2331">
      <c r="A2331" s="3">
        <f>IFERROR(__xludf.DUMMYFUNCTION("""COMPUTED_VALUE"""),47000.0)</f>
        <v>47000</v>
      </c>
    </row>
    <row r="2332">
      <c r="A2332" s="3">
        <f>IFERROR(__xludf.DUMMYFUNCTION("""COMPUTED_VALUE"""),553.0)</f>
        <v>553</v>
      </c>
    </row>
    <row r="2333">
      <c r="A2333" s="3">
        <f>IFERROR(__xludf.DUMMYFUNCTION("""COMPUTED_VALUE"""),37083.0)</f>
        <v>37083</v>
      </c>
    </row>
    <row r="2334">
      <c r="A2334" s="3">
        <f>IFERROR(__xludf.DUMMYFUNCTION("""COMPUTED_VALUE"""),2239808.0)</f>
        <v>2239808</v>
      </c>
    </row>
    <row r="2335">
      <c r="A2335" s="3">
        <f>IFERROR(__xludf.DUMMYFUNCTION("""COMPUTED_VALUE"""),29.0)</f>
        <v>29</v>
      </c>
    </row>
    <row r="2336">
      <c r="A2336" s="3">
        <f>IFERROR(__xludf.DUMMYFUNCTION("""COMPUTED_VALUE"""),1472350.0)</f>
        <v>1472350</v>
      </c>
    </row>
    <row r="2337">
      <c r="A2337" s="3">
        <f>IFERROR(__xludf.DUMMYFUNCTION("""COMPUTED_VALUE"""),1191367.0)</f>
        <v>1191367</v>
      </c>
    </row>
    <row r="2338">
      <c r="A2338" s="3">
        <f>IFERROR(__xludf.DUMMYFUNCTION("""COMPUTED_VALUE"""),361758.0)</f>
        <v>361758</v>
      </c>
    </row>
    <row r="2339">
      <c r="A2339" s="3">
        <f>IFERROR(__xludf.DUMMYFUNCTION("""COMPUTED_VALUE"""),564313.0)</f>
        <v>564313</v>
      </c>
    </row>
    <row r="2340">
      <c r="A2340" s="3">
        <f>IFERROR(__xludf.DUMMYFUNCTION("""COMPUTED_VALUE"""),1562895.0)</f>
        <v>1562895</v>
      </c>
    </row>
    <row r="2341">
      <c r="A2341" s="3">
        <f>IFERROR(__xludf.DUMMYFUNCTION("""COMPUTED_VALUE"""),649541.0)</f>
        <v>649541</v>
      </c>
    </row>
    <row r="2342">
      <c r="A2342" s="3">
        <f>IFERROR(__xludf.DUMMYFUNCTION("""COMPUTED_VALUE"""),601475.0)</f>
        <v>601475</v>
      </c>
    </row>
    <row r="2343">
      <c r="A2343" s="3">
        <f>IFERROR(__xludf.DUMMYFUNCTION("""COMPUTED_VALUE"""),1320578.0)</f>
        <v>1320578</v>
      </c>
    </row>
    <row r="2344">
      <c r="A2344" s="3">
        <f>IFERROR(__xludf.DUMMYFUNCTION("""COMPUTED_VALUE"""),115.0)</f>
        <v>115</v>
      </c>
    </row>
    <row r="2345">
      <c r="A2345" s="3">
        <f>IFERROR(__xludf.DUMMYFUNCTION("""COMPUTED_VALUE"""),1196790.0)</f>
        <v>1196790</v>
      </c>
    </row>
    <row r="2346">
      <c r="A2346" s="3">
        <f>IFERROR(__xludf.DUMMYFUNCTION("""COMPUTED_VALUE"""),381786.0)</f>
        <v>381786</v>
      </c>
    </row>
    <row r="2347">
      <c r="A2347" s="3">
        <f>IFERROR(__xludf.DUMMYFUNCTION("""COMPUTED_VALUE"""),625768.0)</f>
        <v>625768</v>
      </c>
    </row>
    <row r="2348">
      <c r="A2348" s="3">
        <f>IFERROR(__xludf.DUMMYFUNCTION("""COMPUTED_VALUE"""),430538.0)</f>
        <v>430538</v>
      </c>
    </row>
    <row r="2349">
      <c r="A2349" s="3">
        <f>IFERROR(__xludf.DUMMYFUNCTION("""COMPUTED_VALUE"""),1555930.0)</f>
        <v>1555930</v>
      </c>
    </row>
    <row r="2350">
      <c r="A2350" s="3">
        <f>IFERROR(__xludf.DUMMYFUNCTION("""COMPUTED_VALUE"""),41765.0)</f>
        <v>41765</v>
      </c>
    </row>
    <row r="2351">
      <c r="A2351" s="3">
        <f>IFERROR(__xludf.DUMMYFUNCTION("""COMPUTED_VALUE"""),1165059.0)</f>
        <v>1165059</v>
      </c>
    </row>
    <row r="2352">
      <c r="A2352" s="3">
        <f>IFERROR(__xludf.DUMMYFUNCTION("""COMPUTED_VALUE"""),3141490.0)</f>
        <v>3141490</v>
      </c>
    </row>
    <row r="2353">
      <c r="A2353" s="3">
        <f>IFERROR(__xludf.DUMMYFUNCTION("""COMPUTED_VALUE"""),67826.0)</f>
        <v>67826</v>
      </c>
    </row>
    <row r="2354">
      <c r="A2354" s="3">
        <f>IFERROR(__xludf.DUMMYFUNCTION("""COMPUTED_VALUE"""),70.0)</f>
        <v>70</v>
      </c>
    </row>
    <row r="2355">
      <c r="A2355" s="3">
        <f>IFERROR(__xludf.DUMMYFUNCTION("""COMPUTED_VALUE"""),1204567.0)</f>
        <v>1204567</v>
      </c>
    </row>
    <row r="2356">
      <c r="A2356" s="3">
        <f>IFERROR(__xludf.DUMMYFUNCTION("""COMPUTED_VALUE"""),47.0)</f>
        <v>47</v>
      </c>
    </row>
    <row r="2357">
      <c r="A2357" s="3">
        <f>IFERROR(__xludf.DUMMYFUNCTION("""COMPUTED_VALUE"""),837753.0)</f>
        <v>837753</v>
      </c>
    </row>
    <row r="2358">
      <c r="A2358" s="3">
        <f>IFERROR(__xludf.DUMMYFUNCTION("""COMPUTED_VALUE"""),690356.0)</f>
        <v>690356</v>
      </c>
    </row>
    <row r="2359">
      <c r="A2359" s="3">
        <f>IFERROR(__xludf.DUMMYFUNCTION("""COMPUTED_VALUE"""),1648788.0)</f>
        <v>1648788</v>
      </c>
    </row>
    <row r="2360">
      <c r="A2360" s="3">
        <f>IFERROR(__xludf.DUMMYFUNCTION("""COMPUTED_VALUE"""),108.0)</f>
        <v>108</v>
      </c>
    </row>
    <row r="2361">
      <c r="A2361" s="3">
        <f>IFERROR(__xludf.DUMMYFUNCTION("""COMPUTED_VALUE"""),526709.0)</f>
        <v>526709</v>
      </c>
    </row>
    <row r="2362">
      <c r="A2362" s="3">
        <f>IFERROR(__xludf.DUMMYFUNCTION("""COMPUTED_VALUE"""),947195.0)</f>
        <v>947195</v>
      </c>
    </row>
    <row r="2363">
      <c r="A2363" s="3">
        <f>IFERROR(__xludf.DUMMYFUNCTION("""COMPUTED_VALUE"""),883697.0)</f>
        <v>883697</v>
      </c>
    </row>
    <row r="2364">
      <c r="A2364" s="3">
        <f>IFERROR(__xludf.DUMMYFUNCTION("""COMPUTED_VALUE"""),585269.0)</f>
        <v>585269</v>
      </c>
    </row>
    <row r="2365">
      <c r="A2365" s="3">
        <f>IFERROR(__xludf.DUMMYFUNCTION("""COMPUTED_VALUE"""),692532.0)</f>
        <v>692532</v>
      </c>
    </row>
    <row r="2366">
      <c r="A2366" s="3">
        <f>IFERROR(__xludf.DUMMYFUNCTION("""COMPUTED_VALUE"""),916326.0)</f>
        <v>916326</v>
      </c>
    </row>
    <row r="2367">
      <c r="A2367" s="3">
        <f>IFERROR(__xludf.DUMMYFUNCTION("""COMPUTED_VALUE"""),1331269.0)</f>
        <v>1331269</v>
      </c>
    </row>
    <row r="2368">
      <c r="A2368" s="3">
        <f>IFERROR(__xludf.DUMMYFUNCTION("""COMPUTED_VALUE"""),699469.0)</f>
        <v>699469</v>
      </c>
    </row>
    <row r="2369">
      <c r="A2369" s="3">
        <f>IFERROR(__xludf.DUMMYFUNCTION("""COMPUTED_VALUE"""),3162981.0)</f>
        <v>3162981</v>
      </c>
    </row>
    <row r="2370">
      <c r="A2370" s="3">
        <f>IFERROR(__xludf.DUMMYFUNCTION("""COMPUTED_VALUE"""),986536.0)</f>
        <v>986536</v>
      </c>
    </row>
    <row r="2371">
      <c r="A2371" s="3">
        <f>IFERROR(__xludf.DUMMYFUNCTION("""COMPUTED_VALUE"""),71335.0)</f>
        <v>71335</v>
      </c>
    </row>
    <row r="2372">
      <c r="A2372" s="3">
        <f>IFERROR(__xludf.DUMMYFUNCTION("""COMPUTED_VALUE"""),22565.0)</f>
        <v>22565</v>
      </c>
    </row>
    <row r="2373">
      <c r="A2373" s="3">
        <f>IFERROR(__xludf.DUMMYFUNCTION("""COMPUTED_VALUE"""),62.0)</f>
        <v>62</v>
      </c>
    </row>
    <row r="2374">
      <c r="A2374" s="3">
        <f>IFERROR(__xludf.DUMMYFUNCTION("""COMPUTED_VALUE"""),917271.0)</f>
        <v>917271</v>
      </c>
    </row>
    <row r="2375">
      <c r="A2375" s="3">
        <f>IFERROR(__xludf.DUMMYFUNCTION("""COMPUTED_VALUE"""),838524.0)</f>
        <v>838524</v>
      </c>
    </row>
    <row r="2376">
      <c r="A2376" s="3">
        <f>IFERROR(__xludf.DUMMYFUNCTION("""COMPUTED_VALUE"""),1364409.0)</f>
        <v>1364409</v>
      </c>
    </row>
    <row r="2377">
      <c r="A2377" s="3">
        <f>IFERROR(__xludf.DUMMYFUNCTION("""COMPUTED_VALUE"""),1271011.0)</f>
        <v>1271011</v>
      </c>
    </row>
    <row r="2378">
      <c r="A2378" s="3">
        <f>IFERROR(__xludf.DUMMYFUNCTION("""COMPUTED_VALUE"""),39167.0)</f>
        <v>39167</v>
      </c>
    </row>
    <row r="2379">
      <c r="A2379" s="3">
        <f>IFERROR(__xludf.DUMMYFUNCTION("""COMPUTED_VALUE"""),641374.0)</f>
        <v>641374</v>
      </c>
    </row>
    <row r="2380">
      <c r="A2380" s="3">
        <f>IFERROR(__xludf.DUMMYFUNCTION("""COMPUTED_VALUE"""),759321.0)</f>
        <v>759321</v>
      </c>
    </row>
    <row r="2381">
      <c r="A2381" s="3">
        <f>IFERROR(__xludf.DUMMYFUNCTION("""COMPUTED_VALUE"""),1589903.0)</f>
        <v>1589903</v>
      </c>
    </row>
    <row r="2382">
      <c r="A2382" s="3">
        <f>IFERROR(__xludf.DUMMYFUNCTION("""COMPUTED_VALUE"""),1377267.0)</f>
        <v>1377267</v>
      </c>
    </row>
    <row r="2383">
      <c r="A2383" s="3">
        <f>IFERROR(__xludf.DUMMYFUNCTION("""COMPUTED_VALUE"""),358214.0)</f>
        <v>358214</v>
      </c>
    </row>
    <row r="2384">
      <c r="A2384" s="3">
        <f>IFERROR(__xludf.DUMMYFUNCTION("""COMPUTED_VALUE"""),972097.0)</f>
        <v>972097</v>
      </c>
    </row>
    <row r="2385">
      <c r="A2385" s="3">
        <f>IFERROR(__xludf.DUMMYFUNCTION("""COMPUTED_VALUE"""),540800.0)</f>
        <v>540800</v>
      </c>
    </row>
    <row r="2386">
      <c r="A2386" s="3">
        <f>IFERROR(__xludf.DUMMYFUNCTION("""COMPUTED_VALUE"""),909909.0)</f>
        <v>909909</v>
      </c>
    </row>
    <row r="2387">
      <c r="A2387" s="3">
        <f>IFERROR(__xludf.DUMMYFUNCTION("""COMPUTED_VALUE"""),736515.0)</f>
        <v>736515</v>
      </c>
    </row>
    <row r="2388">
      <c r="A2388" s="3">
        <f>IFERROR(__xludf.DUMMYFUNCTION("""COMPUTED_VALUE"""),100488.0)</f>
        <v>100488</v>
      </c>
    </row>
    <row r="2389">
      <c r="A2389" s="3">
        <f>IFERROR(__xludf.DUMMYFUNCTION("""COMPUTED_VALUE"""),518827.0)</f>
        <v>518827</v>
      </c>
    </row>
    <row r="2390">
      <c r="A2390" s="3">
        <f>IFERROR(__xludf.DUMMYFUNCTION("""COMPUTED_VALUE"""),38649.0)</f>
        <v>38649</v>
      </c>
    </row>
    <row r="2391">
      <c r="A2391" s="3">
        <f>IFERROR(__xludf.DUMMYFUNCTION("""COMPUTED_VALUE"""),1.0)</f>
        <v>1</v>
      </c>
    </row>
    <row r="2392">
      <c r="A2392" s="3">
        <f>IFERROR(__xludf.DUMMYFUNCTION("""COMPUTED_VALUE"""),37500.0)</f>
        <v>37500</v>
      </c>
    </row>
    <row r="2393">
      <c r="A2393" s="3">
        <f>IFERROR(__xludf.DUMMYFUNCTION("""COMPUTED_VALUE"""),43.0)</f>
        <v>43</v>
      </c>
    </row>
    <row r="2394">
      <c r="A2394" s="3">
        <f>IFERROR(__xludf.DUMMYFUNCTION("""COMPUTED_VALUE"""),1412565.0)</f>
        <v>1412565</v>
      </c>
    </row>
    <row r="2395">
      <c r="A2395" s="3">
        <f>IFERROR(__xludf.DUMMYFUNCTION("""COMPUTED_VALUE"""),45023.0)</f>
        <v>45023</v>
      </c>
    </row>
    <row r="2396">
      <c r="A2396" s="3">
        <f>IFERROR(__xludf.DUMMYFUNCTION("""COMPUTED_VALUE"""),89094.0)</f>
        <v>89094</v>
      </c>
    </row>
    <row r="2397">
      <c r="A2397" s="3">
        <f>IFERROR(__xludf.DUMMYFUNCTION("""COMPUTED_VALUE"""),10621.0)</f>
        <v>10621</v>
      </c>
    </row>
    <row r="2398">
      <c r="A2398" s="3">
        <f>IFERROR(__xludf.DUMMYFUNCTION("""COMPUTED_VALUE"""),87039.0)</f>
        <v>87039</v>
      </c>
    </row>
    <row r="2399">
      <c r="A2399" s="3">
        <f>IFERROR(__xludf.DUMMYFUNCTION("""COMPUTED_VALUE"""),230.0)</f>
        <v>230</v>
      </c>
    </row>
    <row r="2400">
      <c r="A2400" s="3">
        <f>IFERROR(__xludf.DUMMYFUNCTION("""COMPUTED_VALUE"""),149932.0)</f>
        <v>149932</v>
      </c>
    </row>
    <row r="2401">
      <c r="A2401" s="3">
        <f>IFERROR(__xludf.DUMMYFUNCTION("""COMPUTED_VALUE"""),67.0)</f>
        <v>67</v>
      </c>
    </row>
    <row r="2402">
      <c r="A2402" s="3">
        <f>IFERROR(__xludf.DUMMYFUNCTION("""COMPUTED_VALUE"""),257.0)</f>
        <v>257</v>
      </c>
    </row>
    <row r="2403">
      <c r="A2403" s="3">
        <f>IFERROR(__xludf.DUMMYFUNCTION("""COMPUTED_VALUE"""),17784.0)</f>
        <v>17784</v>
      </c>
    </row>
    <row r="2404">
      <c r="A2404" s="3">
        <f>IFERROR(__xludf.DUMMYFUNCTION("""COMPUTED_VALUE"""),103597.0)</f>
        <v>103597</v>
      </c>
    </row>
    <row r="2405">
      <c r="A2405" s="3">
        <f>IFERROR(__xludf.DUMMYFUNCTION("""COMPUTED_VALUE"""),49053.0)</f>
        <v>49053</v>
      </c>
    </row>
    <row r="2406">
      <c r="A2406" s="3">
        <f>IFERROR(__xludf.DUMMYFUNCTION("""COMPUTED_VALUE"""),22.0)</f>
        <v>22</v>
      </c>
    </row>
    <row r="2407">
      <c r="A2407" s="3">
        <f>IFERROR(__xludf.DUMMYFUNCTION("""COMPUTED_VALUE"""),423080.0)</f>
        <v>423080</v>
      </c>
    </row>
    <row r="2408">
      <c r="A2408" s="3">
        <f>IFERROR(__xludf.DUMMYFUNCTION("""COMPUTED_VALUE"""),3644181.0)</f>
        <v>3644181</v>
      </c>
    </row>
    <row r="2409">
      <c r="A2409" s="3">
        <f>IFERROR(__xludf.DUMMYFUNCTION("""COMPUTED_VALUE"""),452.0)</f>
        <v>452</v>
      </c>
    </row>
    <row r="2410">
      <c r="A2410" s="3">
        <f>IFERROR(__xludf.DUMMYFUNCTION("""COMPUTED_VALUE"""),665.0)</f>
        <v>665</v>
      </c>
    </row>
    <row r="2411">
      <c r="A2411" s="3">
        <f>IFERROR(__xludf.DUMMYFUNCTION("""COMPUTED_VALUE"""),461956.0)</f>
        <v>461956</v>
      </c>
    </row>
    <row r="2412">
      <c r="A2412" s="3">
        <f>IFERROR(__xludf.DUMMYFUNCTION("""COMPUTED_VALUE"""),374830.0)</f>
        <v>374830</v>
      </c>
    </row>
    <row r="2413">
      <c r="A2413" s="3">
        <f>IFERROR(__xludf.DUMMYFUNCTION("""COMPUTED_VALUE"""),82037.0)</f>
        <v>82037</v>
      </c>
    </row>
    <row r="2414">
      <c r="A2414" s="3">
        <f>IFERROR(__xludf.DUMMYFUNCTION("""COMPUTED_VALUE"""),230.0)</f>
        <v>230</v>
      </c>
    </row>
    <row r="2415">
      <c r="A2415" s="3">
        <f>IFERROR(__xludf.DUMMYFUNCTION("""COMPUTED_VALUE"""),775034.0)</f>
        <v>775034</v>
      </c>
    </row>
    <row r="2416">
      <c r="A2416" s="3">
        <f>IFERROR(__xludf.DUMMYFUNCTION("""COMPUTED_VALUE"""),2265784.0)</f>
        <v>2265784</v>
      </c>
    </row>
    <row r="2417">
      <c r="A2417" s="3">
        <f>IFERROR(__xludf.DUMMYFUNCTION("""COMPUTED_VALUE"""),150733.0)</f>
        <v>150733</v>
      </c>
    </row>
    <row r="2418">
      <c r="A2418" s="3">
        <f>IFERROR(__xludf.DUMMYFUNCTION("""COMPUTED_VALUE"""),4.0)</f>
        <v>4</v>
      </c>
    </row>
    <row r="2419">
      <c r="A2419" s="3">
        <f>IFERROR(__xludf.DUMMYFUNCTION("""COMPUTED_VALUE"""),1478425.0)</f>
        <v>1478425</v>
      </c>
    </row>
    <row r="2420">
      <c r="A2420" s="3">
        <f>IFERROR(__xludf.DUMMYFUNCTION("""COMPUTED_VALUE"""),3665141.0)</f>
        <v>3665141</v>
      </c>
    </row>
    <row r="2421">
      <c r="A2421" s="3">
        <f>IFERROR(__xludf.DUMMYFUNCTION("""COMPUTED_VALUE"""),618387.0)</f>
        <v>618387</v>
      </c>
    </row>
    <row r="2422">
      <c r="A2422" s="3">
        <f>IFERROR(__xludf.DUMMYFUNCTION("""COMPUTED_VALUE"""),573621.0)</f>
        <v>573621</v>
      </c>
    </row>
    <row r="2423">
      <c r="A2423" s="3">
        <f>IFERROR(__xludf.DUMMYFUNCTION("""COMPUTED_VALUE"""),17.0)</f>
        <v>17</v>
      </c>
    </row>
    <row r="2424">
      <c r="A2424" s="3">
        <f>IFERROR(__xludf.DUMMYFUNCTION("""COMPUTED_VALUE"""),1513955.0)</f>
        <v>1513955</v>
      </c>
    </row>
    <row r="2425">
      <c r="A2425" s="3">
        <f>IFERROR(__xludf.DUMMYFUNCTION("""COMPUTED_VALUE"""),100488.0)</f>
        <v>100488</v>
      </c>
    </row>
    <row r="2426">
      <c r="A2426" s="3">
        <f>IFERROR(__xludf.DUMMYFUNCTION("""COMPUTED_VALUE"""),469612.0)</f>
        <v>469612</v>
      </c>
    </row>
    <row r="2427">
      <c r="A2427" s="3">
        <f>IFERROR(__xludf.DUMMYFUNCTION("""COMPUTED_VALUE"""),2707106.0)</f>
        <v>2707106</v>
      </c>
    </row>
    <row r="2428">
      <c r="A2428" s="3">
        <f>IFERROR(__xludf.DUMMYFUNCTION("""COMPUTED_VALUE"""),12108.0)</f>
        <v>12108</v>
      </c>
    </row>
    <row r="2429">
      <c r="A2429" s="3">
        <f>IFERROR(__xludf.DUMMYFUNCTION("""COMPUTED_VALUE"""),51.0)</f>
        <v>51</v>
      </c>
    </row>
    <row r="2430">
      <c r="A2430" s="3">
        <f>IFERROR(__xludf.DUMMYFUNCTION("""COMPUTED_VALUE"""),541.0)</f>
        <v>541</v>
      </c>
    </row>
    <row r="2431">
      <c r="A2431" s="3">
        <f>IFERROR(__xludf.DUMMYFUNCTION("""COMPUTED_VALUE"""),862674.0)</f>
        <v>862674</v>
      </c>
    </row>
    <row r="2432">
      <c r="A2432" s="3">
        <f>IFERROR(__xludf.DUMMYFUNCTION("""COMPUTED_VALUE"""),938347.0)</f>
        <v>938347</v>
      </c>
    </row>
    <row r="2433">
      <c r="A2433" s="3">
        <f>IFERROR(__xludf.DUMMYFUNCTION("""COMPUTED_VALUE"""),735350.0)</f>
        <v>735350</v>
      </c>
    </row>
    <row r="2434">
      <c r="A2434" s="3">
        <f>IFERROR(__xludf.DUMMYFUNCTION("""COMPUTED_VALUE"""),500.0)</f>
        <v>500</v>
      </c>
    </row>
    <row r="2435">
      <c r="A2435" s="3">
        <f>IFERROR(__xludf.DUMMYFUNCTION("""COMPUTED_VALUE"""),413830.0)</f>
        <v>413830</v>
      </c>
    </row>
    <row r="2436">
      <c r="A2436" s="3">
        <f>IFERROR(__xludf.DUMMYFUNCTION("""COMPUTED_VALUE"""),1489702.0)</f>
        <v>1489702</v>
      </c>
    </row>
    <row r="2437">
      <c r="A2437" s="3">
        <f>IFERROR(__xludf.DUMMYFUNCTION("""COMPUTED_VALUE"""),125569.0)</f>
        <v>125569</v>
      </c>
    </row>
    <row r="2438">
      <c r="A2438" s="3">
        <f>IFERROR(__xludf.DUMMYFUNCTION("""COMPUTED_VALUE"""),1288344.0)</f>
        <v>1288344</v>
      </c>
    </row>
    <row r="2439">
      <c r="A2439" s="3">
        <f>IFERROR(__xludf.DUMMYFUNCTION("""COMPUTED_VALUE"""),1643809.0)</f>
        <v>1643809</v>
      </c>
    </row>
    <row r="2440">
      <c r="A2440" s="3">
        <f>IFERROR(__xludf.DUMMYFUNCTION("""COMPUTED_VALUE"""),23248.0)</f>
        <v>23248</v>
      </c>
    </row>
    <row r="2441">
      <c r="A2441" s="3">
        <f>IFERROR(__xludf.DUMMYFUNCTION("""COMPUTED_VALUE"""),452.0)</f>
        <v>452</v>
      </c>
    </row>
    <row r="2442">
      <c r="A2442" s="3">
        <f>IFERROR(__xludf.DUMMYFUNCTION("""COMPUTED_VALUE"""),183949.0)</f>
        <v>183949</v>
      </c>
    </row>
    <row r="2443">
      <c r="A2443" s="3">
        <f>IFERROR(__xludf.DUMMYFUNCTION("""COMPUTED_VALUE"""),2210744.0)</f>
        <v>2210744</v>
      </c>
    </row>
    <row r="2444">
      <c r="A2444" s="3">
        <f>IFERROR(__xludf.DUMMYFUNCTION("""COMPUTED_VALUE"""),864369.0)</f>
        <v>864369</v>
      </c>
    </row>
    <row r="2445">
      <c r="A2445" s="3">
        <f>IFERROR(__xludf.DUMMYFUNCTION("""COMPUTED_VALUE"""),31105.0)</f>
        <v>31105</v>
      </c>
    </row>
    <row r="2446">
      <c r="A2446" s="3">
        <f>IFERROR(__xludf.DUMMYFUNCTION("""COMPUTED_VALUE"""),547.0)</f>
        <v>547</v>
      </c>
    </row>
    <row r="2447">
      <c r="A2447" s="3">
        <f>IFERROR(__xludf.DUMMYFUNCTION("""COMPUTED_VALUE"""),69.0)</f>
        <v>69</v>
      </c>
    </row>
    <row r="2448">
      <c r="A2448" s="3">
        <f>IFERROR(__xludf.DUMMYFUNCTION("""COMPUTED_VALUE"""),1476259.0)</f>
        <v>1476259</v>
      </c>
    </row>
    <row r="2449">
      <c r="A2449" s="3">
        <f>IFERROR(__xludf.DUMMYFUNCTION("""COMPUTED_VALUE"""),530128.0)</f>
        <v>530128</v>
      </c>
    </row>
    <row r="2450">
      <c r="A2450" s="3">
        <f>IFERROR(__xludf.DUMMYFUNCTION("""COMPUTED_VALUE"""),542342.0)</f>
        <v>542342</v>
      </c>
    </row>
    <row r="2451">
      <c r="A2451" s="3">
        <f>IFERROR(__xludf.DUMMYFUNCTION("""COMPUTED_VALUE"""),695747.0)</f>
        <v>695747</v>
      </c>
    </row>
    <row r="2452">
      <c r="A2452" s="3">
        <f>IFERROR(__xludf.DUMMYFUNCTION("""COMPUTED_VALUE"""),744034.0)</f>
        <v>744034</v>
      </c>
    </row>
    <row r="2453">
      <c r="A2453" s="3">
        <f>IFERROR(__xludf.DUMMYFUNCTION("""COMPUTED_VALUE"""),909682.0)</f>
        <v>909682</v>
      </c>
    </row>
    <row r="2454">
      <c r="A2454" s="3">
        <f>IFERROR(__xludf.DUMMYFUNCTION("""COMPUTED_VALUE"""),928488.0)</f>
        <v>928488</v>
      </c>
    </row>
    <row r="2455">
      <c r="A2455" s="3">
        <f>IFERROR(__xludf.DUMMYFUNCTION("""COMPUTED_VALUE"""),459892.0)</f>
        <v>459892</v>
      </c>
    </row>
    <row r="2456">
      <c r="A2456" s="3">
        <f>IFERROR(__xludf.DUMMYFUNCTION("""COMPUTED_VALUE"""),1077564.0)</f>
        <v>1077564</v>
      </c>
    </row>
    <row r="2457">
      <c r="A2457" s="3">
        <f>IFERROR(__xludf.DUMMYFUNCTION("""COMPUTED_VALUE"""),1321470.0)</f>
        <v>1321470</v>
      </c>
    </row>
    <row r="2458">
      <c r="A2458" s="3">
        <f>IFERROR(__xludf.DUMMYFUNCTION("""COMPUTED_VALUE"""),795858.0)</f>
        <v>795858</v>
      </c>
    </row>
    <row r="2459">
      <c r="A2459" s="3">
        <f>IFERROR(__xludf.DUMMYFUNCTION("""COMPUTED_VALUE"""),353152.0)</f>
        <v>353152</v>
      </c>
    </row>
    <row r="2460">
      <c r="A2460" s="3">
        <f>IFERROR(__xludf.DUMMYFUNCTION("""COMPUTED_VALUE"""),30220.0)</f>
        <v>30220</v>
      </c>
    </row>
    <row r="2461">
      <c r="A2461" s="3">
        <f>IFERROR(__xludf.DUMMYFUNCTION("""COMPUTED_VALUE"""),51096.0)</f>
        <v>51096</v>
      </c>
    </row>
    <row r="2462">
      <c r="A2462" s="3">
        <f>IFERROR(__xludf.DUMMYFUNCTION("""COMPUTED_VALUE"""),612517.0)</f>
        <v>612517</v>
      </c>
    </row>
    <row r="2463">
      <c r="A2463" s="3">
        <f>IFERROR(__xludf.DUMMYFUNCTION("""COMPUTED_VALUE"""),331509.0)</f>
        <v>331509</v>
      </c>
    </row>
    <row r="2464">
      <c r="A2464" s="3">
        <f>IFERROR(__xludf.DUMMYFUNCTION("""COMPUTED_VALUE"""),3977066.0)</f>
        <v>3977066</v>
      </c>
    </row>
    <row r="2465">
      <c r="A2465" s="3">
        <f>IFERROR(__xludf.DUMMYFUNCTION("""COMPUTED_VALUE"""),1230982.0)</f>
        <v>1230982</v>
      </c>
    </row>
    <row r="2466">
      <c r="A2466" s="3">
        <f>IFERROR(__xludf.DUMMYFUNCTION("""COMPUTED_VALUE"""),106209.0)</f>
        <v>106209</v>
      </c>
    </row>
    <row r="2467">
      <c r="A2467" s="3">
        <f>IFERROR(__xludf.DUMMYFUNCTION("""COMPUTED_VALUE"""),46854.0)</f>
        <v>46854</v>
      </c>
    </row>
    <row r="2468">
      <c r="A2468" s="3">
        <f>IFERROR(__xludf.DUMMYFUNCTION("""COMPUTED_VALUE"""),25921.0)</f>
        <v>25921</v>
      </c>
    </row>
    <row r="2469">
      <c r="A2469" s="3">
        <f>IFERROR(__xludf.DUMMYFUNCTION("""COMPUTED_VALUE"""),10814.0)</f>
        <v>10814</v>
      </c>
    </row>
    <row r="2470">
      <c r="A2470" s="3">
        <f>IFERROR(__xludf.DUMMYFUNCTION("""COMPUTED_VALUE"""),555.0)</f>
        <v>555</v>
      </c>
    </row>
    <row r="2471">
      <c r="A2471" s="3">
        <f>IFERROR(__xludf.DUMMYFUNCTION("""COMPUTED_VALUE"""),40684.0)</f>
        <v>40684</v>
      </c>
    </row>
    <row r="2472">
      <c r="A2472" s="3">
        <f>IFERROR(__xludf.DUMMYFUNCTION("""COMPUTED_VALUE"""),1088000.0)</f>
        <v>1088000</v>
      </c>
    </row>
    <row r="2473">
      <c r="A2473" s="3">
        <f>IFERROR(__xludf.DUMMYFUNCTION("""COMPUTED_VALUE"""),23000.0)</f>
        <v>23000</v>
      </c>
    </row>
    <row r="2474">
      <c r="A2474" s="3">
        <f>IFERROR(__xludf.DUMMYFUNCTION("""COMPUTED_VALUE"""),70513.0)</f>
        <v>70513</v>
      </c>
    </row>
    <row r="2475">
      <c r="A2475" s="3">
        <f>IFERROR(__xludf.DUMMYFUNCTION("""COMPUTED_VALUE"""),123286.0)</f>
        <v>123286</v>
      </c>
    </row>
    <row r="2476">
      <c r="A2476" s="3">
        <f>IFERROR(__xludf.DUMMYFUNCTION("""COMPUTED_VALUE"""),12899.0)</f>
        <v>12899</v>
      </c>
    </row>
    <row r="2477">
      <c r="A2477" s="3">
        <f>IFERROR(__xludf.DUMMYFUNCTION("""COMPUTED_VALUE"""),511.0)</f>
        <v>511</v>
      </c>
    </row>
    <row r="2478">
      <c r="A2478" s="3">
        <f>IFERROR(__xludf.DUMMYFUNCTION("""COMPUTED_VALUE"""),573527.0)</f>
        <v>573527</v>
      </c>
    </row>
    <row r="2479">
      <c r="A2479" s="3">
        <f>IFERROR(__xludf.DUMMYFUNCTION("""COMPUTED_VALUE"""),234362.0)</f>
        <v>234362</v>
      </c>
    </row>
    <row r="2480">
      <c r="A2480" s="3">
        <f>IFERROR(__xludf.DUMMYFUNCTION("""COMPUTED_VALUE"""),26.0)</f>
        <v>26</v>
      </c>
    </row>
    <row r="2481">
      <c r="A2481" s="3">
        <f>IFERROR(__xludf.DUMMYFUNCTION("""COMPUTED_VALUE"""),1139568.0)</f>
        <v>1139568</v>
      </c>
    </row>
    <row r="2482">
      <c r="A2482" s="3">
        <f>IFERROR(__xludf.DUMMYFUNCTION("""COMPUTED_VALUE"""),11.0)</f>
        <v>11</v>
      </c>
    </row>
    <row r="2483">
      <c r="A2483" s="3">
        <f>IFERROR(__xludf.DUMMYFUNCTION("""COMPUTED_VALUE"""),1988533.0)</f>
        <v>1988533</v>
      </c>
    </row>
    <row r="2484">
      <c r="A2484" s="3">
        <f>IFERROR(__xludf.DUMMYFUNCTION("""COMPUTED_VALUE"""),19465.0)</f>
        <v>19465</v>
      </c>
    </row>
    <row r="2485">
      <c r="A2485" s="3">
        <f>IFERROR(__xludf.DUMMYFUNCTION("""COMPUTED_VALUE"""),68.0)</f>
        <v>68</v>
      </c>
    </row>
    <row r="2486">
      <c r="A2486" s="3">
        <f>IFERROR(__xludf.DUMMYFUNCTION("""COMPUTED_VALUE"""),30950.0)</f>
        <v>30950</v>
      </c>
    </row>
    <row r="2487">
      <c r="A2487" s="3">
        <f>IFERROR(__xludf.DUMMYFUNCTION("""COMPUTED_VALUE"""),5.0)</f>
        <v>5</v>
      </c>
    </row>
    <row r="2488">
      <c r="A2488" s="3">
        <f>IFERROR(__xludf.DUMMYFUNCTION("""COMPUTED_VALUE"""),237.0)</f>
        <v>237</v>
      </c>
    </row>
    <row r="2489">
      <c r="A2489" s="3">
        <f>IFERROR(__xludf.DUMMYFUNCTION("""COMPUTED_VALUE"""),311716.0)</f>
        <v>311716</v>
      </c>
    </row>
    <row r="2490">
      <c r="A2490" s="3">
        <f>IFERROR(__xludf.DUMMYFUNCTION("""COMPUTED_VALUE"""),385890.0)</f>
        <v>385890</v>
      </c>
    </row>
    <row r="2491">
      <c r="A2491" s="3">
        <f>IFERROR(__xludf.DUMMYFUNCTION("""COMPUTED_VALUE"""),1900000.0)</f>
        <v>1900000</v>
      </c>
    </row>
    <row r="2492">
      <c r="A2492" s="3">
        <f>IFERROR(__xludf.DUMMYFUNCTION("""COMPUTED_VALUE"""),502441.0)</f>
        <v>502441</v>
      </c>
    </row>
    <row r="2493">
      <c r="A2493" s="3">
        <f>IFERROR(__xludf.DUMMYFUNCTION("""COMPUTED_VALUE"""),891759.0)</f>
        <v>891759</v>
      </c>
    </row>
    <row r="2494">
      <c r="A2494" s="3">
        <f>IFERROR(__xludf.DUMMYFUNCTION("""COMPUTED_VALUE"""),62.0)</f>
        <v>62</v>
      </c>
    </row>
    <row r="2495">
      <c r="A2495" s="3">
        <f>IFERROR(__xludf.DUMMYFUNCTION("""COMPUTED_VALUE"""),63.0)</f>
        <v>63</v>
      </c>
    </row>
    <row r="2496">
      <c r="A2496" s="3">
        <f>IFERROR(__xludf.DUMMYFUNCTION("""COMPUTED_VALUE"""),322077.0)</f>
        <v>322077</v>
      </c>
    </row>
    <row r="2497">
      <c r="A2497" s="3">
        <f>IFERROR(__xludf.DUMMYFUNCTION("""COMPUTED_VALUE"""),8.0)</f>
        <v>8</v>
      </c>
    </row>
    <row r="2498">
      <c r="A2498" s="3">
        <f>IFERROR(__xludf.DUMMYFUNCTION("""COMPUTED_VALUE"""),35.0)</f>
        <v>35</v>
      </c>
    </row>
    <row r="2499">
      <c r="A2499" s="3">
        <f>IFERROR(__xludf.DUMMYFUNCTION("""COMPUTED_VALUE"""),48370.0)</f>
        <v>48370</v>
      </c>
    </row>
    <row r="2500">
      <c r="A2500" s="3">
        <f>IFERROR(__xludf.DUMMYFUNCTION("""COMPUTED_VALUE"""),321853.0)</f>
        <v>321853</v>
      </c>
    </row>
    <row r="2501">
      <c r="A2501" s="3">
        <f>IFERROR(__xludf.DUMMYFUNCTION("""COMPUTED_VALUE"""),1860082.0)</f>
        <v>1860082</v>
      </c>
    </row>
    <row r="2502">
      <c r="A2502" s="3">
        <f>IFERROR(__xludf.DUMMYFUNCTION("""COMPUTED_VALUE"""),53744.0)</f>
        <v>53744</v>
      </c>
    </row>
    <row r="2503">
      <c r="A2503" s="3">
        <f>IFERROR(__xludf.DUMMYFUNCTION("""COMPUTED_VALUE"""),200.0)</f>
        <v>200</v>
      </c>
    </row>
    <row r="2504">
      <c r="A2504" s="3">
        <f>IFERROR(__xludf.DUMMYFUNCTION("""COMPUTED_VALUE"""),14941.0)</f>
        <v>14941</v>
      </c>
    </row>
    <row r="2505">
      <c r="A2505" s="3">
        <f>IFERROR(__xludf.DUMMYFUNCTION("""COMPUTED_VALUE"""),894346.0)</f>
        <v>894346</v>
      </c>
    </row>
    <row r="2506">
      <c r="A2506" s="3">
        <f>IFERROR(__xludf.DUMMYFUNCTION("""COMPUTED_VALUE"""),2540253.0)</f>
        <v>2540253</v>
      </c>
    </row>
    <row r="2507">
      <c r="A2507" s="3">
        <f>IFERROR(__xludf.DUMMYFUNCTION("""COMPUTED_VALUE"""),2597406.0)</f>
        <v>2597406</v>
      </c>
    </row>
    <row r="2508">
      <c r="A2508" s="3">
        <f>IFERROR(__xludf.DUMMYFUNCTION("""COMPUTED_VALUE"""),932374.0)</f>
        <v>932374</v>
      </c>
    </row>
    <row r="2509">
      <c r="A2509" s="3">
        <f>IFERROR(__xludf.DUMMYFUNCTION("""COMPUTED_VALUE"""),53.0)</f>
        <v>53</v>
      </c>
    </row>
    <row r="2510">
      <c r="A2510" s="3">
        <f>IFERROR(__xludf.DUMMYFUNCTION("""COMPUTED_VALUE"""),1743621.0)</f>
        <v>1743621</v>
      </c>
    </row>
    <row r="2511">
      <c r="A2511" s="3">
        <f>IFERROR(__xludf.DUMMYFUNCTION("""COMPUTED_VALUE"""),5.0)</f>
        <v>5</v>
      </c>
    </row>
    <row r="2512">
      <c r="A2512" s="3">
        <f>IFERROR(__xludf.DUMMYFUNCTION("""COMPUTED_VALUE"""),80391.0)</f>
        <v>80391</v>
      </c>
    </row>
    <row r="2513">
      <c r="A2513" s="3">
        <f>IFERROR(__xludf.DUMMYFUNCTION("""COMPUTED_VALUE"""),52790.0)</f>
        <v>52790</v>
      </c>
    </row>
    <row r="2514">
      <c r="A2514" s="3">
        <f>IFERROR(__xludf.DUMMYFUNCTION("""COMPUTED_VALUE"""),3123584.0)</f>
        <v>3123584</v>
      </c>
    </row>
    <row r="2515">
      <c r="A2515" s="3">
        <f>IFERROR(__xludf.DUMMYFUNCTION("""COMPUTED_VALUE"""),50.0)</f>
        <v>50</v>
      </c>
    </row>
    <row r="2516">
      <c r="A2516" s="3">
        <f>IFERROR(__xludf.DUMMYFUNCTION("""COMPUTED_VALUE"""),1095095.0)</f>
        <v>1095095</v>
      </c>
    </row>
    <row r="2517">
      <c r="A2517" s="3">
        <f>IFERROR(__xludf.DUMMYFUNCTION("""COMPUTED_VALUE"""),234082.0)</f>
        <v>234082</v>
      </c>
    </row>
    <row r="2518">
      <c r="A2518" s="3">
        <f>IFERROR(__xludf.DUMMYFUNCTION("""COMPUTED_VALUE"""),1090171.0)</f>
        <v>1090171</v>
      </c>
    </row>
    <row r="2519">
      <c r="A2519" s="3">
        <f>IFERROR(__xludf.DUMMYFUNCTION("""COMPUTED_VALUE"""),561.0)</f>
        <v>561</v>
      </c>
    </row>
    <row r="2520">
      <c r="A2520" s="3">
        <f>IFERROR(__xludf.DUMMYFUNCTION("""COMPUTED_VALUE"""),3108546.0)</f>
        <v>3108546</v>
      </c>
    </row>
    <row r="2521">
      <c r="A2521" s="3">
        <f>IFERROR(__xludf.DUMMYFUNCTION("""COMPUTED_VALUE"""),162802.0)</f>
        <v>162802</v>
      </c>
    </row>
    <row r="2522">
      <c r="A2522" s="3">
        <f>IFERROR(__xludf.DUMMYFUNCTION("""COMPUTED_VALUE"""),9.0)</f>
        <v>9</v>
      </c>
    </row>
    <row r="2523">
      <c r="A2523" s="3">
        <f>IFERROR(__xludf.DUMMYFUNCTION("""COMPUTED_VALUE"""),1080000.0)</f>
        <v>1080000</v>
      </c>
    </row>
    <row r="2524">
      <c r="A2524" s="3">
        <f>IFERROR(__xludf.DUMMYFUNCTION("""COMPUTED_VALUE"""),886686.0)</f>
        <v>886686</v>
      </c>
    </row>
    <row r="2525">
      <c r="A2525" s="3">
        <f>IFERROR(__xludf.DUMMYFUNCTION("""COMPUTED_VALUE"""),2051223.0)</f>
        <v>2051223</v>
      </c>
    </row>
    <row r="2526">
      <c r="A2526" s="3">
        <f>IFERROR(__xludf.DUMMYFUNCTION("""COMPUTED_VALUE"""),65.0)</f>
        <v>65</v>
      </c>
    </row>
    <row r="2527">
      <c r="A2527" s="3">
        <f>IFERROR(__xludf.DUMMYFUNCTION("""COMPUTED_VALUE"""),875066.0)</f>
        <v>875066</v>
      </c>
    </row>
    <row r="2528">
      <c r="A2528" s="3">
        <f>IFERROR(__xludf.DUMMYFUNCTION("""COMPUTED_VALUE"""),748712.0)</f>
        <v>748712</v>
      </c>
    </row>
    <row r="2529">
      <c r="A2529" s="3">
        <f>IFERROR(__xludf.DUMMYFUNCTION("""COMPUTED_VALUE"""),1525549.0)</f>
        <v>1525549</v>
      </c>
    </row>
    <row r="2530">
      <c r="A2530" s="3">
        <f>IFERROR(__xludf.DUMMYFUNCTION("""COMPUTED_VALUE"""),52096.0)</f>
        <v>52096</v>
      </c>
    </row>
    <row r="2531">
      <c r="A2531" s="3">
        <f>IFERROR(__xludf.DUMMYFUNCTION("""COMPUTED_VALUE"""),244.0)</f>
        <v>244</v>
      </c>
    </row>
    <row r="2532">
      <c r="A2532" s="3">
        <f>IFERROR(__xludf.DUMMYFUNCTION("""COMPUTED_VALUE"""),832266.0)</f>
        <v>832266</v>
      </c>
    </row>
    <row r="2533">
      <c r="A2533" s="3">
        <f>IFERROR(__xludf.DUMMYFUNCTION("""COMPUTED_VALUE"""),783333.0)</f>
        <v>783333</v>
      </c>
    </row>
    <row r="2534">
      <c r="A2534" s="3">
        <f>IFERROR(__xludf.DUMMYFUNCTION("""COMPUTED_VALUE"""),99468.0)</f>
        <v>99468</v>
      </c>
    </row>
    <row r="2535">
      <c r="A2535" s="3">
        <f>IFERROR(__xludf.DUMMYFUNCTION("""COMPUTED_VALUE"""),1088590.0)</f>
        <v>1088590</v>
      </c>
    </row>
    <row r="2536">
      <c r="A2536" s="3">
        <f>IFERROR(__xludf.DUMMYFUNCTION("""COMPUTED_VALUE"""),931048.0)</f>
        <v>931048</v>
      </c>
    </row>
    <row r="2537">
      <c r="A2537" s="3">
        <f>IFERROR(__xludf.DUMMYFUNCTION("""COMPUTED_VALUE"""),30253.0)</f>
        <v>30253</v>
      </c>
    </row>
    <row r="2538">
      <c r="A2538" s="3">
        <f>IFERROR(__xludf.DUMMYFUNCTION("""COMPUTED_VALUE"""),2340910.0)</f>
        <v>2340910</v>
      </c>
    </row>
    <row r="2539">
      <c r="A2539" s="3">
        <f>IFERROR(__xludf.DUMMYFUNCTION("""COMPUTED_VALUE"""),575209.0)</f>
        <v>575209</v>
      </c>
    </row>
    <row r="2540">
      <c r="A2540" s="3">
        <f>IFERROR(__xludf.DUMMYFUNCTION("""COMPUTED_VALUE"""),1521127.0)</f>
        <v>1521127</v>
      </c>
    </row>
    <row r="2541">
      <c r="A2541" s="3">
        <f>IFERROR(__xludf.DUMMYFUNCTION("""COMPUTED_VALUE"""),49093.0)</f>
        <v>49093</v>
      </c>
    </row>
    <row r="2542">
      <c r="A2542" s="3">
        <f>IFERROR(__xludf.DUMMYFUNCTION("""COMPUTED_VALUE"""),927200.0)</f>
        <v>927200</v>
      </c>
    </row>
    <row r="2543">
      <c r="A2543" s="3">
        <f>IFERROR(__xludf.DUMMYFUNCTION("""COMPUTED_VALUE"""),338722.0)</f>
        <v>338722</v>
      </c>
    </row>
    <row r="2544">
      <c r="A2544" s="3">
        <f>IFERROR(__xludf.DUMMYFUNCTION("""COMPUTED_VALUE"""),1168458.0)</f>
        <v>1168458</v>
      </c>
    </row>
    <row r="2545">
      <c r="A2545" s="3">
        <f>IFERROR(__xludf.DUMMYFUNCTION("""COMPUTED_VALUE"""),665000.0)</f>
        <v>665000</v>
      </c>
    </row>
    <row r="2546">
      <c r="A2546" s="3">
        <f>IFERROR(__xludf.DUMMYFUNCTION("""COMPUTED_VALUE"""),1180965.0)</f>
        <v>1180965</v>
      </c>
    </row>
    <row r="2547">
      <c r="A2547" s="3">
        <f>IFERROR(__xludf.DUMMYFUNCTION("""COMPUTED_VALUE"""),562103.0)</f>
        <v>562103</v>
      </c>
    </row>
    <row r="2548">
      <c r="A2548" s="3">
        <f>IFERROR(__xludf.DUMMYFUNCTION("""COMPUTED_VALUE"""),991010.0)</f>
        <v>991010</v>
      </c>
    </row>
    <row r="2549">
      <c r="A2549" s="3">
        <f>IFERROR(__xludf.DUMMYFUNCTION("""COMPUTED_VALUE"""),984047.0)</f>
        <v>984047</v>
      </c>
    </row>
    <row r="2550">
      <c r="A2550" s="3">
        <f>IFERROR(__xludf.DUMMYFUNCTION("""COMPUTED_VALUE"""),551847.0)</f>
        <v>551847</v>
      </c>
    </row>
    <row r="2551">
      <c r="A2551" s="3">
        <f>IFERROR(__xludf.DUMMYFUNCTION("""COMPUTED_VALUE"""),2452646.0)</f>
        <v>2452646</v>
      </c>
    </row>
    <row r="2552">
      <c r="A2552" s="3">
        <f>IFERROR(__xludf.DUMMYFUNCTION("""COMPUTED_VALUE"""),636937.0)</f>
        <v>636937</v>
      </c>
    </row>
    <row r="2553">
      <c r="A2553" s="3">
        <f>IFERROR(__xludf.DUMMYFUNCTION("""COMPUTED_VALUE"""),126272.0)</f>
        <v>126272</v>
      </c>
    </row>
    <row r="2554">
      <c r="A2554" s="3">
        <f>IFERROR(__xludf.DUMMYFUNCTION("""COMPUTED_VALUE"""),1027889.0)</f>
        <v>1027889</v>
      </c>
    </row>
    <row r="2555">
      <c r="A2555" s="3">
        <f>IFERROR(__xludf.DUMMYFUNCTION("""COMPUTED_VALUE"""),84402.0)</f>
        <v>84402</v>
      </c>
    </row>
    <row r="2556">
      <c r="A2556" s="3">
        <f>IFERROR(__xludf.DUMMYFUNCTION("""COMPUTED_VALUE"""),1608545.0)</f>
        <v>1608545</v>
      </c>
    </row>
    <row r="2557">
      <c r="A2557" s="3">
        <f>IFERROR(__xludf.DUMMYFUNCTION("""COMPUTED_VALUE"""),562282.0)</f>
        <v>562282</v>
      </c>
    </row>
    <row r="2558">
      <c r="A2558" s="3">
        <f>IFERROR(__xludf.DUMMYFUNCTION("""COMPUTED_VALUE"""),709492.0)</f>
        <v>709492</v>
      </c>
    </row>
    <row r="2559">
      <c r="A2559" s="3">
        <f>IFERROR(__xludf.DUMMYFUNCTION("""COMPUTED_VALUE"""),2823268.0)</f>
        <v>2823268</v>
      </c>
    </row>
    <row r="2560">
      <c r="A2560" s="3">
        <f>IFERROR(__xludf.DUMMYFUNCTION("""COMPUTED_VALUE"""),60.0)</f>
        <v>60</v>
      </c>
    </row>
    <row r="2561">
      <c r="A2561" s="3">
        <f>IFERROR(__xludf.DUMMYFUNCTION("""COMPUTED_VALUE"""),6.0)</f>
        <v>6</v>
      </c>
    </row>
    <row r="2562">
      <c r="A2562" s="3">
        <f>IFERROR(__xludf.DUMMYFUNCTION("""COMPUTED_VALUE"""),1467538.0)</f>
        <v>1467538</v>
      </c>
    </row>
    <row r="2563">
      <c r="A2563" s="3">
        <f>IFERROR(__xludf.DUMMYFUNCTION("""COMPUTED_VALUE"""),128986.0)</f>
        <v>128986</v>
      </c>
    </row>
    <row r="2564">
      <c r="A2564" s="3">
        <f>IFERROR(__xludf.DUMMYFUNCTION("""COMPUTED_VALUE"""),34.0)</f>
        <v>34</v>
      </c>
    </row>
    <row r="2565">
      <c r="A2565" s="3">
        <f>IFERROR(__xludf.DUMMYFUNCTION("""COMPUTED_VALUE"""),29640.0)</f>
        <v>29640</v>
      </c>
    </row>
    <row r="2566">
      <c r="A2566" s="3">
        <f>IFERROR(__xludf.DUMMYFUNCTION("""COMPUTED_VALUE"""),957009.0)</f>
        <v>957009</v>
      </c>
    </row>
    <row r="2567">
      <c r="A2567" s="3">
        <f>IFERROR(__xludf.DUMMYFUNCTION("""COMPUTED_VALUE"""),9.0)</f>
        <v>9</v>
      </c>
    </row>
    <row r="2568">
      <c r="A2568" s="3">
        <f>IFERROR(__xludf.DUMMYFUNCTION("""COMPUTED_VALUE"""),15460.0)</f>
        <v>15460</v>
      </c>
    </row>
    <row r="2569">
      <c r="A2569" s="3">
        <f>IFERROR(__xludf.DUMMYFUNCTION("""COMPUTED_VALUE"""),5490.0)</f>
        <v>5490</v>
      </c>
    </row>
    <row r="2570">
      <c r="A2570" s="3">
        <f>IFERROR(__xludf.DUMMYFUNCTION("""COMPUTED_VALUE"""),32548.0)</f>
        <v>32548</v>
      </c>
    </row>
    <row r="2571">
      <c r="A2571" s="3">
        <f>IFERROR(__xludf.DUMMYFUNCTION("""COMPUTED_VALUE"""),1550069.0)</f>
        <v>1550069</v>
      </c>
    </row>
    <row r="2572">
      <c r="A2572" s="3">
        <f>IFERROR(__xludf.DUMMYFUNCTION("""COMPUTED_VALUE"""),90181.0)</f>
        <v>90181</v>
      </c>
    </row>
    <row r="2573">
      <c r="A2573" s="3">
        <f>IFERROR(__xludf.DUMMYFUNCTION("""COMPUTED_VALUE"""),55.0)</f>
        <v>55</v>
      </c>
    </row>
    <row r="2574">
      <c r="A2574" s="3">
        <f>IFERROR(__xludf.DUMMYFUNCTION("""COMPUTED_VALUE"""),5.0)</f>
        <v>5</v>
      </c>
    </row>
    <row r="2575">
      <c r="A2575" s="3">
        <f>IFERROR(__xludf.DUMMYFUNCTION("""COMPUTED_VALUE"""),724874.0)</f>
        <v>724874</v>
      </c>
    </row>
    <row r="2576">
      <c r="A2576" s="3">
        <f>IFERROR(__xludf.DUMMYFUNCTION("""COMPUTED_VALUE"""),367041.0)</f>
        <v>367041</v>
      </c>
    </row>
    <row r="2577">
      <c r="A2577" s="3">
        <f>IFERROR(__xludf.DUMMYFUNCTION("""COMPUTED_VALUE"""),1808790.0)</f>
        <v>1808790</v>
      </c>
    </row>
    <row r="2578">
      <c r="A2578" s="3">
        <f>IFERROR(__xludf.DUMMYFUNCTION("""COMPUTED_VALUE"""),1944435.0)</f>
        <v>1944435</v>
      </c>
    </row>
    <row r="2579">
      <c r="A2579" s="3">
        <f>IFERROR(__xludf.DUMMYFUNCTION("""COMPUTED_VALUE"""),88502.0)</f>
        <v>88502</v>
      </c>
    </row>
    <row r="2580">
      <c r="A2580" s="3">
        <f>IFERROR(__xludf.DUMMYFUNCTION("""COMPUTED_VALUE"""),23600.0)</f>
        <v>23600</v>
      </c>
    </row>
    <row r="2581">
      <c r="A2581" s="3">
        <f>IFERROR(__xludf.DUMMYFUNCTION("""COMPUTED_VALUE"""),52.0)</f>
        <v>52</v>
      </c>
    </row>
    <row r="2582">
      <c r="A2582" s="3">
        <f>IFERROR(__xludf.DUMMYFUNCTION("""COMPUTED_VALUE"""),829471.0)</f>
        <v>829471</v>
      </c>
    </row>
    <row r="2583">
      <c r="A2583" s="3">
        <f>IFERROR(__xludf.DUMMYFUNCTION("""COMPUTED_VALUE"""),209602.0)</f>
        <v>209602</v>
      </c>
    </row>
    <row r="2584">
      <c r="A2584" s="3">
        <f>IFERROR(__xludf.DUMMYFUNCTION("""COMPUTED_VALUE"""),847963.0)</f>
        <v>847963</v>
      </c>
    </row>
    <row r="2585">
      <c r="A2585" s="3">
        <f>IFERROR(__xludf.DUMMYFUNCTION("""COMPUTED_VALUE"""),37964.0)</f>
        <v>37964</v>
      </c>
    </row>
    <row r="2586">
      <c r="A2586" s="3">
        <f>IFERROR(__xludf.DUMMYFUNCTION("""COMPUTED_VALUE"""),113.0)</f>
        <v>113</v>
      </c>
    </row>
    <row r="2587">
      <c r="A2587" s="3">
        <f>IFERROR(__xludf.DUMMYFUNCTION("""COMPUTED_VALUE"""),419876.0)</f>
        <v>419876</v>
      </c>
    </row>
    <row r="2588">
      <c r="A2588" s="3">
        <f>IFERROR(__xludf.DUMMYFUNCTION("""COMPUTED_VALUE"""),316741.0)</f>
        <v>316741</v>
      </c>
    </row>
    <row r="2589">
      <c r="A2589" s="3">
        <f>IFERROR(__xludf.DUMMYFUNCTION("""COMPUTED_VALUE"""),1066487.0)</f>
        <v>1066487</v>
      </c>
    </row>
    <row r="2590">
      <c r="A2590" s="3">
        <f>IFERROR(__xludf.DUMMYFUNCTION("""COMPUTED_VALUE"""),2110256.0)</f>
        <v>2110256</v>
      </c>
    </row>
    <row r="2591">
      <c r="A2591" s="3">
        <f>IFERROR(__xludf.DUMMYFUNCTION("""COMPUTED_VALUE"""),40293.0)</f>
        <v>40293</v>
      </c>
    </row>
    <row r="2592">
      <c r="A2592" s="3">
        <f>IFERROR(__xludf.DUMMYFUNCTION("""COMPUTED_VALUE"""),22.0)</f>
        <v>22</v>
      </c>
    </row>
    <row r="2593">
      <c r="A2593" s="3">
        <f>IFERROR(__xludf.DUMMYFUNCTION("""COMPUTED_VALUE"""),1627026.0)</f>
        <v>1627026</v>
      </c>
    </row>
    <row r="2594">
      <c r="A2594" s="3">
        <f>IFERROR(__xludf.DUMMYFUNCTION("""COMPUTED_VALUE"""),504.0)</f>
        <v>504</v>
      </c>
    </row>
    <row r="2595">
      <c r="A2595" s="3">
        <f>IFERROR(__xludf.DUMMYFUNCTION("""COMPUTED_VALUE"""),5.0)</f>
        <v>5</v>
      </c>
    </row>
    <row r="2596">
      <c r="A2596" s="3">
        <f>IFERROR(__xludf.DUMMYFUNCTION("""COMPUTED_VALUE"""),48.0)</f>
        <v>48</v>
      </c>
    </row>
    <row r="2597">
      <c r="A2597" s="3">
        <f>IFERROR(__xludf.DUMMYFUNCTION("""COMPUTED_VALUE"""),32442.0)</f>
        <v>32442</v>
      </c>
    </row>
    <row r="2598">
      <c r="A2598" s="3">
        <f>IFERROR(__xludf.DUMMYFUNCTION("""COMPUTED_VALUE"""),436144.0)</f>
        <v>436144</v>
      </c>
    </row>
    <row r="2599">
      <c r="A2599" s="3">
        <f>IFERROR(__xludf.DUMMYFUNCTION("""COMPUTED_VALUE"""),652071.0)</f>
        <v>652071</v>
      </c>
    </row>
    <row r="2600">
      <c r="A2600" s="3">
        <f>IFERROR(__xludf.DUMMYFUNCTION("""COMPUTED_VALUE"""),82.0)</f>
        <v>82</v>
      </c>
    </row>
    <row r="2601">
      <c r="A2601" s="3">
        <f>IFERROR(__xludf.DUMMYFUNCTION("""COMPUTED_VALUE"""),11856.0)</f>
        <v>11856</v>
      </c>
    </row>
    <row r="2602">
      <c r="A2602" s="3">
        <f>IFERROR(__xludf.DUMMYFUNCTION("""COMPUTED_VALUE"""),105.0)</f>
        <v>105</v>
      </c>
    </row>
    <row r="2603">
      <c r="A2603" s="3">
        <f>IFERROR(__xludf.DUMMYFUNCTION("""COMPUTED_VALUE"""),63725.0)</f>
        <v>63725</v>
      </c>
    </row>
    <row r="2604">
      <c r="A2604" s="3">
        <f>IFERROR(__xludf.DUMMYFUNCTION("""COMPUTED_VALUE"""),650810.0)</f>
        <v>650810</v>
      </c>
    </row>
    <row r="2605">
      <c r="A2605" s="3">
        <f>IFERROR(__xludf.DUMMYFUNCTION("""COMPUTED_VALUE"""),1812949.0)</f>
        <v>1812949</v>
      </c>
    </row>
    <row r="2606">
      <c r="A2606" s="3">
        <f>IFERROR(__xludf.DUMMYFUNCTION("""COMPUTED_VALUE"""),91365.0)</f>
        <v>91365</v>
      </c>
    </row>
    <row r="2607">
      <c r="A2607" s="3">
        <f>IFERROR(__xludf.DUMMYFUNCTION("""COMPUTED_VALUE"""),21628.0)</f>
        <v>21628</v>
      </c>
    </row>
    <row r="2608">
      <c r="A2608" s="3">
        <f>IFERROR(__xludf.DUMMYFUNCTION("""COMPUTED_VALUE"""),309.0)</f>
        <v>309</v>
      </c>
    </row>
    <row r="2609">
      <c r="A2609" s="3">
        <f>IFERROR(__xludf.DUMMYFUNCTION("""COMPUTED_VALUE"""),62.0)</f>
        <v>62</v>
      </c>
    </row>
    <row r="2610">
      <c r="A2610" s="3">
        <f>IFERROR(__xludf.DUMMYFUNCTION("""COMPUTED_VALUE"""),1358294.0)</f>
        <v>1358294</v>
      </c>
    </row>
    <row r="2611">
      <c r="A2611" s="3">
        <f>IFERROR(__xludf.DUMMYFUNCTION("""COMPUTED_VALUE"""),4.0)</f>
        <v>4</v>
      </c>
    </row>
    <row r="2612">
      <c r="A2612" s="3">
        <f>IFERROR(__xludf.DUMMYFUNCTION("""COMPUTED_VALUE"""),1298703.0)</f>
        <v>1298703</v>
      </c>
    </row>
    <row r="2613">
      <c r="A2613" s="3">
        <f>IFERROR(__xludf.DUMMYFUNCTION("""COMPUTED_VALUE"""),1257613.0)</f>
        <v>1257613</v>
      </c>
    </row>
    <row r="2614">
      <c r="A2614" s="3">
        <f>IFERROR(__xludf.DUMMYFUNCTION("""COMPUTED_VALUE"""),236.0)</f>
        <v>236</v>
      </c>
    </row>
    <row r="2615">
      <c r="A2615" s="3">
        <f>IFERROR(__xludf.DUMMYFUNCTION("""COMPUTED_VALUE"""),561.0)</f>
        <v>561</v>
      </c>
    </row>
    <row r="2616">
      <c r="A2616" s="3">
        <f>IFERROR(__xludf.DUMMYFUNCTION("""COMPUTED_VALUE"""),1422701.0)</f>
        <v>1422701</v>
      </c>
    </row>
    <row r="2617">
      <c r="A2617" s="3">
        <f>IFERROR(__xludf.DUMMYFUNCTION("""COMPUTED_VALUE"""),993325.0)</f>
        <v>993325</v>
      </c>
    </row>
    <row r="2618">
      <c r="A2618" s="3">
        <f>IFERROR(__xludf.DUMMYFUNCTION("""COMPUTED_VALUE"""),8110.0)</f>
        <v>8110</v>
      </c>
    </row>
    <row r="2619">
      <c r="A2619" s="3">
        <f>IFERROR(__xludf.DUMMYFUNCTION("""COMPUTED_VALUE"""),37836.0)</f>
        <v>37836</v>
      </c>
    </row>
    <row r="2620">
      <c r="A2620" s="3">
        <f>IFERROR(__xludf.DUMMYFUNCTION("""COMPUTED_VALUE"""),240000.0)</f>
        <v>240000</v>
      </c>
    </row>
    <row r="2621">
      <c r="A2621" s="3">
        <f>IFERROR(__xludf.DUMMYFUNCTION("""COMPUTED_VALUE"""),988892.0)</f>
        <v>988892</v>
      </c>
    </row>
    <row r="2622">
      <c r="A2622" s="3">
        <f>IFERROR(__xludf.DUMMYFUNCTION("""COMPUTED_VALUE"""),39851.0)</f>
        <v>39851</v>
      </c>
    </row>
    <row r="2623">
      <c r="A2623" s="3">
        <f>IFERROR(__xludf.DUMMYFUNCTION("""COMPUTED_VALUE"""),68.0)</f>
        <v>68</v>
      </c>
    </row>
    <row r="2624">
      <c r="A2624" s="3">
        <f>IFERROR(__xludf.DUMMYFUNCTION("""COMPUTED_VALUE"""),17.0)</f>
        <v>17</v>
      </c>
    </row>
    <row r="2625">
      <c r="A2625" s="3">
        <f>IFERROR(__xludf.DUMMYFUNCTION("""COMPUTED_VALUE"""),503156.0)</f>
        <v>503156</v>
      </c>
    </row>
    <row r="2626">
      <c r="A2626" s="3">
        <f>IFERROR(__xludf.DUMMYFUNCTION("""COMPUTED_VALUE"""),2579145.0)</f>
        <v>2579145</v>
      </c>
    </row>
    <row r="2627">
      <c r="A2627" s="3">
        <f>IFERROR(__xludf.DUMMYFUNCTION("""COMPUTED_VALUE"""),2954147.0)</f>
        <v>2954147</v>
      </c>
    </row>
    <row r="2628">
      <c r="A2628" s="3">
        <f>IFERROR(__xludf.DUMMYFUNCTION("""COMPUTED_VALUE"""),360000.0)</f>
        <v>360000</v>
      </c>
    </row>
    <row r="2629">
      <c r="A2629" s="3">
        <f>IFERROR(__xludf.DUMMYFUNCTION("""COMPUTED_VALUE"""),123612.0)</f>
        <v>123612</v>
      </c>
    </row>
    <row r="2630">
      <c r="A2630" s="3">
        <f>IFERROR(__xludf.DUMMYFUNCTION("""COMPUTED_VALUE"""),7905.0)</f>
        <v>7905</v>
      </c>
    </row>
    <row r="2631">
      <c r="A2631" s="3">
        <f>IFERROR(__xludf.DUMMYFUNCTION("""COMPUTED_VALUE"""),719.0)</f>
        <v>719</v>
      </c>
    </row>
    <row r="2632">
      <c r="A2632" s="3">
        <f>IFERROR(__xludf.DUMMYFUNCTION("""COMPUTED_VALUE"""),107488.0)</f>
        <v>107488</v>
      </c>
    </row>
    <row r="2633">
      <c r="A2633" s="3">
        <f>IFERROR(__xludf.DUMMYFUNCTION("""COMPUTED_VALUE"""),2545237.0)</f>
        <v>2545237</v>
      </c>
    </row>
    <row r="2634">
      <c r="A2634" s="3">
        <f>IFERROR(__xludf.DUMMYFUNCTION("""COMPUTED_VALUE"""),13552.0)</f>
        <v>13552</v>
      </c>
    </row>
    <row r="2635">
      <c r="A2635" s="3">
        <f>IFERROR(__xludf.DUMMYFUNCTION("""COMPUTED_VALUE"""),2149765.0)</f>
        <v>2149765</v>
      </c>
    </row>
    <row r="2636">
      <c r="A2636" s="3">
        <f>IFERROR(__xludf.DUMMYFUNCTION("""COMPUTED_VALUE"""),301465.0)</f>
        <v>301465</v>
      </c>
    </row>
    <row r="2637">
      <c r="A2637" s="3">
        <f>IFERROR(__xludf.DUMMYFUNCTION("""COMPUTED_VALUE"""),19004.0)</f>
        <v>19004</v>
      </c>
    </row>
    <row r="2638">
      <c r="A2638" s="3">
        <f>IFERROR(__xludf.DUMMYFUNCTION("""COMPUTED_VALUE"""),73872.0)</f>
        <v>73872</v>
      </c>
    </row>
    <row r="2639">
      <c r="A2639" s="3">
        <f>IFERROR(__xludf.DUMMYFUNCTION("""COMPUTED_VALUE"""),17.0)</f>
        <v>17</v>
      </c>
    </row>
    <row r="2640">
      <c r="A2640" s="3">
        <f>IFERROR(__xludf.DUMMYFUNCTION("""COMPUTED_VALUE"""),58069.0)</f>
        <v>58069</v>
      </c>
    </row>
    <row r="2641">
      <c r="A2641" s="3">
        <f>IFERROR(__xludf.DUMMYFUNCTION("""COMPUTED_VALUE"""),1450359.0)</f>
        <v>1450359</v>
      </c>
    </row>
    <row r="2642">
      <c r="A2642" s="3">
        <f>IFERROR(__xludf.DUMMYFUNCTION("""COMPUTED_VALUE"""),631710.0)</f>
        <v>631710</v>
      </c>
    </row>
    <row r="2643">
      <c r="A2643" s="3">
        <f>IFERROR(__xludf.DUMMYFUNCTION("""COMPUTED_VALUE"""),119.0)</f>
        <v>119</v>
      </c>
    </row>
    <row r="2644">
      <c r="A2644" s="3">
        <f>IFERROR(__xludf.DUMMYFUNCTION("""COMPUTED_VALUE"""),73.0)</f>
        <v>73</v>
      </c>
    </row>
    <row r="2645">
      <c r="A2645" s="3">
        <f>IFERROR(__xludf.DUMMYFUNCTION("""COMPUTED_VALUE"""),100733.0)</f>
        <v>100733</v>
      </c>
    </row>
    <row r="2646">
      <c r="A2646" s="3">
        <f>IFERROR(__xludf.DUMMYFUNCTION("""COMPUTED_VALUE"""),892153.0)</f>
        <v>892153</v>
      </c>
    </row>
    <row r="2647">
      <c r="A2647" s="3">
        <f>IFERROR(__xludf.DUMMYFUNCTION("""COMPUTED_VALUE"""),10558.0)</f>
        <v>10558</v>
      </c>
    </row>
    <row r="2648">
      <c r="A2648" s="3">
        <f>IFERROR(__xludf.DUMMYFUNCTION("""COMPUTED_VALUE"""),547.0)</f>
        <v>547</v>
      </c>
    </row>
    <row r="2649">
      <c r="A2649" s="3">
        <f>IFERROR(__xludf.DUMMYFUNCTION("""COMPUTED_VALUE"""),2794695.0)</f>
        <v>2794695</v>
      </c>
    </row>
    <row r="2650">
      <c r="A2650" s="3">
        <f>IFERROR(__xludf.DUMMYFUNCTION("""COMPUTED_VALUE"""),42000.0)</f>
        <v>42000</v>
      </c>
    </row>
    <row r="2651">
      <c r="A2651" s="3">
        <f>IFERROR(__xludf.DUMMYFUNCTION("""COMPUTED_VALUE"""),440139.0)</f>
        <v>440139</v>
      </c>
    </row>
    <row r="2652">
      <c r="A2652" s="3">
        <f>IFERROR(__xludf.DUMMYFUNCTION("""COMPUTED_VALUE"""),56.0)</f>
        <v>56</v>
      </c>
    </row>
    <row r="2653">
      <c r="A2653" s="3">
        <f>IFERROR(__xludf.DUMMYFUNCTION("""COMPUTED_VALUE"""),495280.0)</f>
        <v>495280</v>
      </c>
    </row>
    <row r="2654">
      <c r="A2654" s="3">
        <f>IFERROR(__xludf.DUMMYFUNCTION("""COMPUTED_VALUE"""),43000.0)</f>
        <v>43000</v>
      </c>
    </row>
    <row r="2655">
      <c r="A2655" s="3">
        <f>IFERROR(__xludf.DUMMYFUNCTION("""COMPUTED_VALUE"""),2050654.0)</f>
        <v>2050654</v>
      </c>
    </row>
    <row r="2656">
      <c r="A2656" s="3">
        <f>IFERROR(__xludf.DUMMYFUNCTION("""COMPUTED_VALUE"""),1444930.0)</f>
        <v>1444930</v>
      </c>
    </row>
    <row r="2657">
      <c r="A2657" s="3">
        <f>IFERROR(__xludf.DUMMYFUNCTION("""COMPUTED_VALUE"""),31428.0)</f>
        <v>31428</v>
      </c>
    </row>
    <row r="2658">
      <c r="A2658" s="3">
        <f>IFERROR(__xludf.DUMMYFUNCTION("""COMPUTED_VALUE"""),171523.0)</f>
        <v>171523</v>
      </c>
    </row>
    <row r="2659">
      <c r="A2659" s="3">
        <f>IFERROR(__xludf.DUMMYFUNCTION("""COMPUTED_VALUE"""),206676.0)</f>
        <v>206676</v>
      </c>
    </row>
    <row r="2660">
      <c r="A2660" s="3">
        <f>IFERROR(__xludf.DUMMYFUNCTION("""COMPUTED_VALUE"""),85843.0)</f>
        <v>85843</v>
      </c>
    </row>
    <row r="2661">
      <c r="A2661" s="3">
        <f>IFERROR(__xludf.DUMMYFUNCTION("""COMPUTED_VALUE"""),5273205.0)</f>
        <v>5273205</v>
      </c>
    </row>
    <row r="2662">
      <c r="A2662" s="3">
        <f>IFERROR(__xludf.DUMMYFUNCTION("""COMPUTED_VALUE"""),61086.0)</f>
        <v>61086</v>
      </c>
    </row>
    <row r="2663">
      <c r="A2663" s="3">
        <f>IFERROR(__xludf.DUMMYFUNCTION("""COMPUTED_VALUE"""),432559.0)</f>
        <v>432559</v>
      </c>
    </row>
    <row r="2664">
      <c r="A2664" s="3">
        <f>IFERROR(__xludf.DUMMYFUNCTION("""COMPUTED_VALUE"""),22876.0)</f>
        <v>22876</v>
      </c>
    </row>
    <row r="2665">
      <c r="A2665" s="3">
        <f>IFERROR(__xludf.DUMMYFUNCTION("""COMPUTED_VALUE"""),1989669.0)</f>
        <v>1989669</v>
      </c>
    </row>
    <row r="2666">
      <c r="A2666" s="3">
        <f>IFERROR(__xludf.DUMMYFUNCTION("""COMPUTED_VALUE"""),458101.0)</f>
        <v>458101</v>
      </c>
    </row>
    <row r="2667">
      <c r="A2667" s="3">
        <f>IFERROR(__xludf.DUMMYFUNCTION("""COMPUTED_VALUE"""),237.0)</f>
        <v>237</v>
      </c>
    </row>
    <row r="2668">
      <c r="A2668" s="3">
        <f>IFERROR(__xludf.DUMMYFUNCTION("""COMPUTED_VALUE"""),54400.0)</f>
        <v>54400</v>
      </c>
    </row>
    <row r="2669">
      <c r="A2669" s="3">
        <f>IFERROR(__xludf.DUMMYFUNCTION("""COMPUTED_VALUE"""),59472.0)</f>
        <v>59472</v>
      </c>
    </row>
    <row r="2670">
      <c r="A2670" s="3">
        <f>IFERROR(__xludf.DUMMYFUNCTION("""COMPUTED_VALUE"""),730000.0)</f>
        <v>730000</v>
      </c>
    </row>
    <row r="2671">
      <c r="A2671" s="3">
        <f>IFERROR(__xludf.DUMMYFUNCTION("""COMPUTED_VALUE"""),422051.0)</f>
        <v>422051</v>
      </c>
    </row>
    <row r="2672">
      <c r="A2672" s="3">
        <f>IFERROR(__xludf.DUMMYFUNCTION("""COMPUTED_VALUE"""),576533.0)</f>
        <v>576533</v>
      </c>
    </row>
    <row r="2673">
      <c r="A2673" s="3">
        <f>IFERROR(__xludf.DUMMYFUNCTION("""COMPUTED_VALUE"""),16320.0)</f>
        <v>16320</v>
      </c>
    </row>
    <row r="2674">
      <c r="A2674" s="3">
        <f>IFERROR(__xludf.DUMMYFUNCTION("""COMPUTED_VALUE"""),886873.0)</f>
        <v>886873</v>
      </c>
    </row>
    <row r="2675">
      <c r="A2675" s="3">
        <f>IFERROR(__xludf.DUMMYFUNCTION("""COMPUTED_VALUE"""),435108.0)</f>
        <v>435108</v>
      </c>
    </row>
    <row r="2676">
      <c r="A2676" s="3">
        <f>IFERROR(__xludf.DUMMYFUNCTION("""COMPUTED_VALUE"""),23712.0)</f>
        <v>23712</v>
      </c>
    </row>
    <row r="2677">
      <c r="A2677" s="3">
        <f>IFERROR(__xludf.DUMMYFUNCTION("""COMPUTED_VALUE"""),1493283.0)</f>
        <v>1493283</v>
      </c>
    </row>
    <row r="2678">
      <c r="A2678" s="3">
        <f>IFERROR(__xludf.DUMMYFUNCTION("""COMPUTED_VALUE"""),372016.0)</f>
        <v>372016</v>
      </c>
    </row>
    <row r="2679">
      <c r="A2679" s="3">
        <f>IFERROR(__xludf.DUMMYFUNCTION("""COMPUTED_VALUE"""),2.0)</f>
        <v>2</v>
      </c>
    </row>
    <row r="2680">
      <c r="A2680" s="3">
        <f>IFERROR(__xludf.DUMMYFUNCTION("""COMPUTED_VALUE"""),490000.0)</f>
        <v>490000</v>
      </c>
    </row>
    <row r="2681">
      <c r="A2681" s="3">
        <f>IFERROR(__xludf.DUMMYFUNCTION("""COMPUTED_VALUE"""),41648.0)</f>
        <v>41648</v>
      </c>
    </row>
    <row r="2682">
      <c r="A2682" s="3">
        <f>IFERROR(__xludf.DUMMYFUNCTION("""COMPUTED_VALUE"""),314473.0)</f>
        <v>314473</v>
      </c>
    </row>
    <row r="2683">
      <c r="A2683" s="3">
        <f>IFERROR(__xludf.DUMMYFUNCTION("""COMPUTED_VALUE"""),12059.0)</f>
        <v>12059</v>
      </c>
    </row>
    <row r="2684">
      <c r="A2684" s="3">
        <f>IFERROR(__xludf.DUMMYFUNCTION("""COMPUTED_VALUE"""),61.0)</f>
        <v>61</v>
      </c>
    </row>
    <row r="2685">
      <c r="A2685" s="3">
        <f>IFERROR(__xludf.DUMMYFUNCTION("""COMPUTED_VALUE"""),39309.0)</f>
        <v>39309</v>
      </c>
    </row>
    <row r="2686">
      <c r="A2686" s="3">
        <f>IFERROR(__xludf.DUMMYFUNCTION("""COMPUTED_VALUE"""),739061.0)</f>
        <v>739061</v>
      </c>
    </row>
    <row r="2687">
      <c r="A2687" s="3">
        <f>IFERROR(__xludf.DUMMYFUNCTION("""COMPUTED_VALUE"""),2071942.0)</f>
        <v>2071942</v>
      </c>
    </row>
    <row r="2688">
      <c r="A2688" s="3">
        <f>IFERROR(__xludf.DUMMYFUNCTION("""COMPUTED_VALUE"""),400.0)</f>
        <v>400</v>
      </c>
    </row>
    <row r="2689">
      <c r="A2689" s="3">
        <f>IFERROR(__xludf.DUMMYFUNCTION("""COMPUTED_VALUE"""),492393.0)</f>
        <v>492393</v>
      </c>
    </row>
    <row r="2690">
      <c r="A2690" s="3">
        <f>IFERROR(__xludf.DUMMYFUNCTION("""COMPUTED_VALUE"""),5000.0)</f>
        <v>5000</v>
      </c>
    </row>
    <row r="2691">
      <c r="A2691" s="3">
        <f>IFERROR(__xludf.DUMMYFUNCTION("""COMPUTED_VALUE"""),16078.0)</f>
        <v>16078</v>
      </c>
    </row>
    <row r="2692">
      <c r="A2692" s="3">
        <f>IFERROR(__xludf.DUMMYFUNCTION("""COMPUTED_VALUE"""),96000.0)</f>
        <v>96000</v>
      </c>
    </row>
    <row r="2693">
      <c r="A2693" s="3">
        <f>IFERROR(__xludf.DUMMYFUNCTION("""COMPUTED_VALUE"""),20859.0)</f>
        <v>20859</v>
      </c>
    </row>
    <row r="2694">
      <c r="A2694" s="3">
        <f>IFERROR(__xludf.DUMMYFUNCTION("""COMPUTED_VALUE"""),14681.0)</f>
        <v>14681</v>
      </c>
    </row>
    <row r="2695">
      <c r="A2695" s="3">
        <f>IFERROR(__xludf.DUMMYFUNCTION("""COMPUTED_VALUE"""),1397347.0)</f>
        <v>1397347</v>
      </c>
    </row>
    <row r="2696">
      <c r="A2696" s="3">
        <f>IFERROR(__xludf.DUMMYFUNCTION("""COMPUTED_VALUE"""),36259.0)</f>
        <v>36259</v>
      </c>
    </row>
    <row r="2697">
      <c r="A2697" s="3">
        <f>IFERROR(__xludf.DUMMYFUNCTION("""COMPUTED_VALUE"""),1521236.0)</f>
        <v>1521236</v>
      </c>
    </row>
    <row r="2698">
      <c r="A2698" s="3">
        <f>IFERROR(__xludf.DUMMYFUNCTION("""COMPUTED_VALUE"""),6.0)</f>
        <v>6</v>
      </c>
    </row>
    <row r="2699">
      <c r="A2699" s="3">
        <f>IFERROR(__xludf.DUMMYFUNCTION("""COMPUTED_VALUE"""),53.0)</f>
        <v>53</v>
      </c>
    </row>
    <row r="2700">
      <c r="A2700" s="3">
        <f>IFERROR(__xludf.DUMMYFUNCTION("""COMPUTED_VALUE"""),186475.0)</f>
        <v>186475</v>
      </c>
    </row>
    <row r="2701">
      <c r="A2701" s="3">
        <f>IFERROR(__xludf.DUMMYFUNCTION("""COMPUTED_VALUE"""),732477.0)</f>
        <v>732477</v>
      </c>
    </row>
    <row r="2702">
      <c r="A2702" s="3">
        <f>IFERROR(__xludf.DUMMYFUNCTION("""COMPUTED_VALUE"""),1746411.0)</f>
        <v>1746411</v>
      </c>
    </row>
    <row r="2703">
      <c r="A2703" s="3">
        <f>IFERROR(__xludf.DUMMYFUNCTION("""COMPUTED_VALUE"""),693.0)</f>
        <v>693</v>
      </c>
    </row>
    <row r="2704">
      <c r="A2704" s="3">
        <f>IFERROR(__xludf.DUMMYFUNCTION("""COMPUTED_VALUE"""),1154890.0)</f>
        <v>1154890</v>
      </c>
    </row>
    <row r="2705">
      <c r="A2705" s="3">
        <f>IFERROR(__xludf.DUMMYFUNCTION("""COMPUTED_VALUE"""),569784.0)</f>
        <v>569784</v>
      </c>
    </row>
    <row r="2706">
      <c r="A2706" s="3">
        <f>IFERROR(__xludf.DUMMYFUNCTION("""COMPUTED_VALUE"""),880000.0)</f>
        <v>880000</v>
      </c>
    </row>
    <row r="2707">
      <c r="A2707" s="3">
        <f>IFERROR(__xludf.DUMMYFUNCTION("""COMPUTED_VALUE"""),85843.0)</f>
        <v>85843</v>
      </c>
    </row>
    <row r="2708">
      <c r="A2708" s="3">
        <f>IFERROR(__xludf.DUMMYFUNCTION("""COMPUTED_VALUE"""),68347.0)</f>
        <v>68347</v>
      </c>
    </row>
    <row r="2709">
      <c r="A2709" s="3">
        <f>IFERROR(__xludf.DUMMYFUNCTION("""COMPUTED_VALUE"""),100905.0)</f>
        <v>100905</v>
      </c>
    </row>
    <row r="2710">
      <c r="A2710" s="3">
        <f>IFERROR(__xludf.DUMMYFUNCTION("""COMPUTED_VALUE"""),1913450.0)</f>
        <v>1913450</v>
      </c>
    </row>
    <row r="2711">
      <c r="A2711" s="3">
        <f>IFERROR(__xludf.DUMMYFUNCTION("""COMPUTED_VALUE"""),921650.0)</f>
        <v>921650</v>
      </c>
    </row>
    <row r="2712">
      <c r="A2712" s="3">
        <f>IFERROR(__xludf.DUMMYFUNCTION("""COMPUTED_VALUE"""),587852.0)</f>
        <v>587852</v>
      </c>
    </row>
    <row r="2713">
      <c r="A2713" s="3">
        <f>IFERROR(__xludf.DUMMYFUNCTION("""COMPUTED_VALUE"""),204841.0)</f>
        <v>204841</v>
      </c>
    </row>
    <row r="2714">
      <c r="A2714" s="3">
        <f>IFERROR(__xludf.DUMMYFUNCTION("""COMPUTED_VALUE"""),8.0)</f>
        <v>8</v>
      </c>
    </row>
    <row r="2715">
      <c r="A2715" s="3">
        <f>IFERROR(__xludf.DUMMYFUNCTION("""COMPUTED_VALUE"""),56825.0)</f>
        <v>56825</v>
      </c>
    </row>
    <row r="2716">
      <c r="A2716" s="3">
        <f>IFERROR(__xludf.DUMMYFUNCTION("""COMPUTED_VALUE"""),2320643.0)</f>
        <v>2320643</v>
      </c>
    </row>
    <row r="2717">
      <c r="A2717" s="3">
        <f>IFERROR(__xludf.DUMMYFUNCTION("""COMPUTED_VALUE"""),20180.0)</f>
        <v>20180</v>
      </c>
    </row>
    <row r="2718">
      <c r="A2718" s="3">
        <f>IFERROR(__xludf.DUMMYFUNCTION("""COMPUTED_VALUE"""),371.0)</f>
        <v>371</v>
      </c>
    </row>
    <row r="2719">
      <c r="A2719" s="3">
        <f>IFERROR(__xludf.DUMMYFUNCTION("""COMPUTED_VALUE"""),30245.0)</f>
        <v>30245</v>
      </c>
    </row>
    <row r="2720">
      <c r="A2720" s="3">
        <f>IFERROR(__xludf.DUMMYFUNCTION("""COMPUTED_VALUE"""),158103.0)</f>
        <v>158103</v>
      </c>
    </row>
    <row r="2721">
      <c r="A2721" s="3">
        <f>IFERROR(__xludf.DUMMYFUNCTION("""COMPUTED_VALUE"""),25899.0)</f>
        <v>25899</v>
      </c>
    </row>
    <row r="2722">
      <c r="A2722" s="3">
        <f>IFERROR(__xludf.DUMMYFUNCTION("""COMPUTED_VALUE"""),1762835.0)</f>
        <v>1762835</v>
      </c>
    </row>
    <row r="2723">
      <c r="A2723" s="3">
        <f>IFERROR(__xludf.DUMMYFUNCTION("""COMPUTED_VALUE"""),3017.0)</f>
        <v>3017</v>
      </c>
    </row>
    <row r="2724">
      <c r="A2724" s="3">
        <f>IFERROR(__xludf.DUMMYFUNCTION("""COMPUTED_VALUE"""),35.0)</f>
        <v>35</v>
      </c>
    </row>
    <row r="2725">
      <c r="A2725" s="3">
        <f>IFERROR(__xludf.DUMMYFUNCTION("""COMPUTED_VALUE"""),51923.0)</f>
        <v>51923</v>
      </c>
    </row>
    <row r="2726">
      <c r="A2726" s="3">
        <f>IFERROR(__xludf.DUMMYFUNCTION("""COMPUTED_VALUE"""),3567037.0)</f>
        <v>3567037</v>
      </c>
    </row>
    <row r="2727">
      <c r="A2727" s="3">
        <f>IFERROR(__xludf.DUMMYFUNCTION("""COMPUTED_VALUE"""),421351.0)</f>
        <v>421351</v>
      </c>
    </row>
    <row r="2728">
      <c r="A2728" s="3">
        <f>IFERROR(__xludf.DUMMYFUNCTION("""COMPUTED_VALUE"""),702908.0)</f>
        <v>702908</v>
      </c>
    </row>
    <row r="2729">
      <c r="A2729" s="3">
        <f>IFERROR(__xludf.DUMMYFUNCTION("""COMPUTED_VALUE"""),5.0)</f>
        <v>5</v>
      </c>
    </row>
    <row r="2730">
      <c r="A2730" s="3">
        <f>IFERROR(__xludf.DUMMYFUNCTION("""COMPUTED_VALUE"""),2239989.0)</f>
        <v>2239989</v>
      </c>
    </row>
    <row r="2731">
      <c r="A2731" s="3">
        <f>IFERROR(__xludf.DUMMYFUNCTION("""COMPUTED_VALUE"""),279672.0)</f>
        <v>279672</v>
      </c>
    </row>
    <row r="2732">
      <c r="A2732" s="3">
        <f>IFERROR(__xludf.DUMMYFUNCTION("""COMPUTED_VALUE"""),1343603.0)</f>
        <v>1343603</v>
      </c>
    </row>
    <row r="2733">
      <c r="A2733" s="3">
        <f>IFERROR(__xludf.DUMMYFUNCTION("""COMPUTED_VALUE"""),85991.0)</f>
        <v>85991</v>
      </c>
    </row>
    <row r="2734">
      <c r="A2734" s="3">
        <f>IFERROR(__xludf.DUMMYFUNCTION("""COMPUTED_VALUE"""),2269647.0)</f>
        <v>2269647</v>
      </c>
    </row>
    <row r="2735">
      <c r="A2735" s="3">
        <f>IFERROR(__xludf.DUMMYFUNCTION("""COMPUTED_VALUE"""),1864748.0)</f>
        <v>1864748</v>
      </c>
    </row>
    <row r="2736">
      <c r="A2736" s="3">
        <f>IFERROR(__xludf.DUMMYFUNCTION("""COMPUTED_VALUE"""),1049129.0)</f>
        <v>1049129</v>
      </c>
    </row>
    <row r="2737">
      <c r="A2737" s="3">
        <f>IFERROR(__xludf.DUMMYFUNCTION("""COMPUTED_VALUE"""),500.0)</f>
        <v>500</v>
      </c>
    </row>
    <row r="2738">
      <c r="A2738" s="3">
        <f>IFERROR(__xludf.DUMMYFUNCTION("""COMPUTED_VALUE"""),696829.0)</f>
        <v>696829</v>
      </c>
    </row>
    <row r="2739">
      <c r="A2739" s="3">
        <f>IFERROR(__xludf.DUMMYFUNCTION("""COMPUTED_VALUE"""),248633.0)</f>
        <v>248633</v>
      </c>
    </row>
    <row r="2740">
      <c r="A2740" s="3">
        <f>IFERROR(__xludf.DUMMYFUNCTION("""COMPUTED_VALUE"""),919187.0)</f>
        <v>919187</v>
      </c>
    </row>
    <row r="2741">
      <c r="A2741" s="3">
        <f>IFERROR(__xludf.DUMMYFUNCTION("""COMPUTED_VALUE"""),110826.0)</f>
        <v>110826</v>
      </c>
    </row>
    <row r="2742">
      <c r="A2742" s="3">
        <f>IFERROR(__xludf.DUMMYFUNCTION("""COMPUTED_VALUE"""),920000.0)</f>
        <v>920000</v>
      </c>
    </row>
    <row r="2743">
      <c r="A2743" s="3">
        <f>IFERROR(__xludf.DUMMYFUNCTION("""COMPUTED_VALUE"""),208589.0)</f>
        <v>208589</v>
      </c>
    </row>
    <row r="2744">
      <c r="A2744" s="3">
        <f>IFERROR(__xludf.DUMMYFUNCTION("""COMPUTED_VALUE"""),25043.0)</f>
        <v>25043</v>
      </c>
    </row>
    <row r="2745">
      <c r="A2745" s="3">
        <f>IFERROR(__xludf.DUMMYFUNCTION("""COMPUTED_VALUE"""),52.0)</f>
        <v>52</v>
      </c>
    </row>
    <row r="2746">
      <c r="A2746" s="3">
        <f>IFERROR(__xludf.DUMMYFUNCTION("""COMPUTED_VALUE"""),67.0)</f>
        <v>67</v>
      </c>
    </row>
    <row r="2747">
      <c r="A2747" s="3">
        <f>IFERROR(__xludf.DUMMYFUNCTION("""COMPUTED_VALUE"""),18286.0)</f>
        <v>18286</v>
      </c>
    </row>
    <row r="2748">
      <c r="A2748" s="3">
        <f>IFERROR(__xludf.DUMMYFUNCTION("""COMPUTED_VALUE"""),683699.0)</f>
        <v>683699</v>
      </c>
    </row>
    <row r="2749">
      <c r="A2749" s="3">
        <f>IFERROR(__xludf.DUMMYFUNCTION("""COMPUTED_VALUE"""),302199.0)</f>
        <v>302199</v>
      </c>
    </row>
    <row r="2750">
      <c r="A2750" s="3">
        <f>IFERROR(__xludf.DUMMYFUNCTION("""COMPUTED_VALUE"""),469326.0)</f>
        <v>469326</v>
      </c>
    </row>
    <row r="2751">
      <c r="A2751" s="3">
        <f>IFERROR(__xludf.DUMMYFUNCTION("""COMPUTED_VALUE"""),725327.0)</f>
        <v>725327</v>
      </c>
    </row>
    <row r="2752">
      <c r="A2752" s="3">
        <f>IFERROR(__xludf.DUMMYFUNCTION("""COMPUTED_VALUE"""),31674.0)</f>
        <v>31674</v>
      </c>
    </row>
    <row r="2753">
      <c r="A2753" s="3">
        <f>IFERROR(__xludf.DUMMYFUNCTION("""COMPUTED_VALUE"""),43938.0)</f>
        <v>43938</v>
      </c>
    </row>
    <row r="2754">
      <c r="A2754" s="3">
        <f>IFERROR(__xludf.DUMMYFUNCTION("""COMPUTED_VALUE"""),98.0)</f>
        <v>98</v>
      </c>
    </row>
    <row r="2755">
      <c r="A2755" s="3">
        <f>IFERROR(__xludf.DUMMYFUNCTION("""COMPUTED_VALUE"""),275841.0)</f>
        <v>275841</v>
      </c>
    </row>
    <row r="2756">
      <c r="A2756" s="3">
        <f>IFERROR(__xludf.DUMMYFUNCTION("""COMPUTED_VALUE"""),258596.0)</f>
        <v>258596</v>
      </c>
    </row>
    <row r="2757">
      <c r="A2757" s="3">
        <f>IFERROR(__xludf.DUMMYFUNCTION("""COMPUTED_VALUE"""),295114.0)</f>
        <v>295114</v>
      </c>
    </row>
    <row r="2758">
      <c r="A2758" s="3">
        <f>IFERROR(__xludf.DUMMYFUNCTION("""COMPUTED_VALUE"""),383213.0)</f>
        <v>383213</v>
      </c>
    </row>
    <row r="2759">
      <c r="A2759" s="3">
        <f>IFERROR(__xludf.DUMMYFUNCTION("""COMPUTED_VALUE"""),297469.0)</f>
        <v>297469</v>
      </c>
    </row>
    <row r="2760">
      <c r="A2760" s="3">
        <f>IFERROR(__xludf.DUMMYFUNCTION("""COMPUTED_VALUE"""),464372.0)</f>
        <v>464372</v>
      </c>
    </row>
    <row r="2761">
      <c r="A2761" s="3">
        <f>IFERROR(__xludf.DUMMYFUNCTION("""COMPUTED_VALUE"""),61.0)</f>
        <v>61</v>
      </c>
    </row>
    <row r="2762">
      <c r="A2762" s="3">
        <f>IFERROR(__xludf.DUMMYFUNCTION("""COMPUTED_VALUE"""),3110514.0)</f>
        <v>3110514</v>
      </c>
    </row>
    <row r="2763">
      <c r="A2763" s="3">
        <f>IFERROR(__xludf.DUMMYFUNCTION("""COMPUTED_VALUE"""),1452000.0)</f>
        <v>1452000</v>
      </c>
    </row>
    <row r="2764">
      <c r="A2764" s="3">
        <f>IFERROR(__xludf.DUMMYFUNCTION("""COMPUTED_VALUE"""),26228.0)</f>
        <v>26228</v>
      </c>
    </row>
    <row r="2765">
      <c r="A2765" s="3">
        <f>IFERROR(__xludf.DUMMYFUNCTION("""COMPUTED_VALUE"""),15.0)</f>
        <v>15</v>
      </c>
    </row>
    <row r="2766">
      <c r="A2766" s="3">
        <f>IFERROR(__xludf.DUMMYFUNCTION("""COMPUTED_VALUE"""),515000.0)</f>
        <v>515000</v>
      </c>
    </row>
    <row r="2767">
      <c r="A2767" s="3">
        <f>IFERROR(__xludf.DUMMYFUNCTION("""COMPUTED_VALUE"""),15644.0)</f>
        <v>15644</v>
      </c>
    </row>
    <row r="2768">
      <c r="A2768" s="3">
        <f>IFERROR(__xludf.DUMMYFUNCTION("""COMPUTED_VALUE"""),60440.0)</f>
        <v>60440</v>
      </c>
    </row>
    <row r="2769">
      <c r="A2769" s="3">
        <f>IFERROR(__xludf.DUMMYFUNCTION("""COMPUTED_VALUE"""),10360.0)</f>
        <v>10360</v>
      </c>
    </row>
    <row r="2770">
      <c r="A2770" s="3">
        <f>IFERROR(__xludf.DUMMYFUNCTION("""COMPUTED_VALUE"""),10073.0)</f>
        <v>10073</v>
      </c>
    </row>
    <row r="2771">
      <c r="A2771" s="3">
        <f>IFERROR(__xludf.DUMMYFUNCTION("""COMPUTED_VALUE"""),5.0)</f>
        <v>5</v>
      </c>
    </row>
    <row r="2772">
      <c r="A2772" s="3">
        <f>IFERROR(__xludf.DUMMYFUNCTION("""COMPUTED_VALUE"""),27.0)</f>
        <v>27</v>
      </c>
    </row>
    <row r="2773">
      <c r="A2773" s="3">
        <f>IFERROR(__xludf.DUMMYFUNCTION("""COMPUTED_VALUE"""),636784.0)</f>
        <v>636784</v>
      </c>
    </row>
    <row r="2774">
      <c r="A2774" s="3">
        <f>IFERROR(__xludf.DUMMYFUNCTION("""COMPUTED_VALUE"""),0.0)</f>
        <v>0</v>
      </c>
    </row>
    <row r="2775">
      <c r="A2775" s="3">
        <f>IFERROR(__xludf.DUMMYFUNCTION("""COMPUTED_VALUE"""),4144.0)</f>
        <v>4144</v>
      </c>
    </row>
    <row r="2776">
      <c r="A2776" s="3">
        <f>IFERROR(__xludf.DUMMYFUNCTION("""COMPUTED_VALUE"""),5.0)</f>
        <v>5</v>
      </c>
    </row>
    <row r="2777">
      <c r="A2777" s="3">
        <f>IFERROR(__xludf.DUMMYFUNCTION("""COMPUTED_VALUE"""),56.0)</f>
        <v>56</v>
      </c>
    </row>
    <row r="2778">
      <c r="A2778" s="3">
        <f>IFERROR(__xludf.DUMMYFUNCTION("""COMPUTED_VALUE"""),396478.0)</f>
        <v>396478</v>
      </c>
    </row>
    <row r="2779">
      <c r="A2779" s="3">
        <f>IFERROR(__xludf.DUMMYFUNCTION("""COMPUTED_VALUE"""),25711.0)</f>
        <v>25711</v>
      </c>
    </row>
    <row r="2780">
      <c r="A2780" s="3">
        <f>IFERROR(__xludf.DUMMYFUNCTION("""COMPUTED_VALUE"""),1640000.0)</f>
        <v>1640000</v>
      </c>
    </row>
    <row r="2781">
      <c r="A2781" s="3">
        <f>IFERROR(__xludf.DUMMYFUNCTION("""COMPUTED_VALUE"""),845183.0)</f>
        <v>845183</v>
      </c>
    </row>
    <row r="2782">
      <c r="A2782" s="3">
        <f>IFERROR(__xludf.DUMMYFUNCTION("""COMPUTED_VALUE"""),40787.0)</f>
        <v>40787</v>
      </c>
    </row>
    <row r="2783">
      <c r="A2783" s="3">
        <f>IFERROR(__xludf.DUMMYFUNCTION("""COMPUTED_VALUE"""),26115.0)</f>
        <v>26115</v>
      </c>
    </row>
    <row r="2784">
      <c r="A2784" s="3">
        <f>IFERROR(__xludf.DUMMYFUNCTION("""COMPUTED_VALUE"""),550316.0)</f>
        <v>550316</v>
      </c>
    </row>
    <row r="2785">
      <c r="A2785" s="3">
        <f>IFERROR(__xludf.DUMMYFUNCTION("""COMPUTED_VALUE"""),100871.0)</f>
        <v>100871</v>
      </c>
    </row>
    <row r="2786">
      <c r="A2786" s="3">
        <f>IFERROR(__xludf.DUMMYFUNCTION("""COMPUTED_VALUE"""),664388.0)</f>
        <v>664388</v>
      </c>
    </row>
    <row r="2787">
      <c r="A2787" s="3">
        <f>IFERROR(__xludf.DUMMYFUNCTION("""COMPUTED_VALUE"""),2219746.0)</f>
        <v>2219746</v>
      </c>
    </row>
    <row r="2788">
      <c r="A2788" s="3">
        <f>IFERROR(__xludf.DUMMYFUNCTION("""COMPUTED_VALUE"""),46.0)</f>
        <v>46</v>
      </c>
    </row>
    <row r="2789">
      <c r="A2789" s="3">
        <f>IFERROR(__xludf.DUMMYFUNCTION("""COMPUTED_VALUE"""),1136500.0)</f>
        <v>1136500</v>
      </c>
    </row>
    <row r="2790">
      <c r="A2790" s="3">
        <f>IFERROR(__xludf.DUMMYFUNCTION("""COMPUTED_VALUE"""),1336892.0)</f>
        <v>1336892</v>
      </c>
    </row>
    <row r="2791">
      <c r="A2791" s="3">
        <f>IFERROR(__xludf.DUMMYFUNCTION("""COMPUTED_VALUE"""),1900443.0)</f>
        <v>1900443</v>
      </c>
    </row>
    <row r="2792">
      <c r="A2792" s="3">
        <f>IFERROR(__xludf.DUMMYFUNCTION("""COMPUTED_VALUE"""),1460635.0)</f>
        <v>1460635</v>
      </c>
    </row>
    <row r="2793">
      <c r="A2793" s="3">
        <f>IFERROR(__xludf.DUMMYFUNCTION("""COMPUTED_VALUE"""),51583.0)</f>
        <v>51583</v>
      </c>
    </row>
    <row r="2794">
      <c r="A2794" s="3">
        <f>IFERROR(__xludf.DUMMYFUNCTION("""COMPUTED_VALUE"""),27880.0)</f>
        <v>27880</v>
      </c>
    </row>
    <row r="2795">
      <c r="A2795" s="3">
        <f>IFERROR(__xludf.DUMMYFUNCTION("""COMPUTED_VALUE"""),20328.0)</f>
        <v>20328</v>
      </c>
    </row>
    <row r="2796">
      <c r="A2796" s="3">
        <f>IFERROR(__xludf.DUMMYFUNCTION("""COMPUTED_VALUE"""),515323.0)</f>
        <v>515323</v>
      </c>
    </row>
    <row r="2797">
      <c r="A2797" s="3">
        <f>IFERROR(__xludf.DUMMYFUNCTION("""COMPUTED_VALUE"""),56.0)</f>
        <v>56</v>
      </c>
    </row>
    <row r="2798">
      <c r="A2798" s="3">
        <f>IFERROR(__xludf.DUMMYFUNCTION("""COMPUTED_VALUE"""),1006818.0)</f>
        <v>1006818</v>
      </c>
    </row>
    <row r="2799">
      <c r="A2799" s="3">
        <f>IFERROR(__xludf.DUMMYFUNCTION("""COMPUTED_VALUE"""),39242.0)</f>
        <v>39242</v>
      </c>
    </row>
    <row r="2800">
      <c r="A2800" s="3">
        <f>IFERROR(__xludf.DUMMYFUNCTION("""COMPUTED_VALUE"""),240.0)</f>
        <v>240</v>
      </c>
    </row>
    <row r="2801">
      <c r="A2801" s="3">
        <f>IFERROR(__xludf.DUMMYFUNCTION("""COMPUTED_VALUE"""),69.0)</f>
        <v>69</v>
      </c>
    </row>
    <row r="2802">
      <c r="A2802" s="3">
        <f>IFERROR(__xludf.DUMMYFUNCTION("""COMPUTED_VALUE"""),30464.0)</f>
        <v>30464</v>
      </c>
    </row>
    <row r="2803">
      <c r="A2803" s="3">
        <f>IFERROR(__xludf.DUMMYFUNCTION("""COMPUTED_VALUE"""),2.0)</f>
        <v>2</v>
      </c>
    </row>
    <row r="2804">
      <c r="A2804" s="3">
        <f>IFERROR(__xludf.DUMMYFUNCTION("""COMPUTED_VALUE"""),2518336.0)</f>
        <v>2518336</v>
      </c>
    </row>
    <row r="2805">
      <c r="A2805" s="3">
        <f>IFERROR(__xludf.DUMMYFUNCTION("""COMPUTED_VALUE"""),6.0)</f>
        <v>6</v>
      </c>
    </row>
    <row r="2806">
      <c r="A2806" s="3">
        <f>IFERROR(__xludf.DUMMYFUNCTION("""COMPUTED_VALUE"""),2612697.0)</f>
        <v>2612697</v>
      </c>
    </row>
    <row r="2807">
      <c r="A2807" s="3">
        <f>IFERROR(__xludf.DUMMYFUNCTION("""COMPUTED_VALUE"""),671212.0)</f>
        <v>671212</v>
      </c>
    </row>
    <row r="2808">
      <c r="A2808" s="3">
        <f>IFERROR(__xludf.DUMMYFUNCTION("""COMPUTED_VALUE"""),550793.0)</f>
        <v>550793</v>
      </c>
    </row>
    <row r="2809">
      <c r="A2809" s="3">
        <f>IFERROR(__xludf.DUMMYFUNCTION("""COMPUTED_VALUE"""),80294.0)</f>
        <v>80294</v>
      </c>
    </row>
    <row r="2810">
      <c r="A2810" s="3">
        <f>IFERROR(__xludf.DUMMYFUNCTION("""COMPUTED_VALUE"""),17.0)</f>
        <v>17</v>
      </c>
    </row>
    <row r="2811">
      <c r="A2811" s="3">
        <f>IFERROR(__xludf.DUMMYFUNCTION("""COMPUTED_VALUE"""),649944.0)</f>
        <v>649944</v>
      </c>
    </row>
    <row r="2812">
      <c r="A2812" s="3">
        <f>IFERROR(__xludf.DUMMYFUNCTION("""COMPUTED_VALUE"""),364418.0)</f>
        <v>364418</v>
      </c>
    </row>
    <row r="2813">
      <c r="A2813" s="3">
        <f>IFERROR(__xludf.DUMMYFUNCTION("""COMPUTED_VALUE"""),2876666.0)</f>
        <v>2876666</v>
      </c>
    </row>
    <row r="2814">
      <c r="A2814" s="3">
        <f>IFERROR(__xludf.DUMMYFUNCTION("""COMPUTED_VALUE"""),143041.0)</f>
        <v>143041</v>
      </c>
    </row>
    <row r="2815">
      <c r="A2815" s="3">
        <f>IFERROR(__xludf.DUMMYFUNCTION("""COMPUTED_VALUE"""),412197.0)</f>
        <v>412197</v>
      </c>
    </row>
    <row r="2816">
      <c r="A2816" s="3">
        <f>IFERROR(__xludf.DUMMYFUNCTION("""COMPUTED_VALUE"""),1.0)</f>
        <v>1</v>
      </c>
    </row>
    <row r="2817">
      <c r="A2817" s="3">
        <f>IFERROR(__xludf.DUMMYFUNCTION("""COMPUTED_VALUE"""),16589.0)</f>
        <v>16589</v>
      </c>
    </row>
    <row r="2818">
      <c r="A2818" s="3">
        <f>IFERROR(__xludf.DUMMYFUNCTION("""COMPUTED_VALUE"""),5.0)</f>
        <v>5</v>
      </c>
    </row>
    <row r="2819">
      <c r="A2819" s="3">
        <f>IFERROR(__xludf.DUMMYFUNCTION("""COMPUTED_VALUE"""),236.0)</f>
        <v>236</v>
      </c>
    </row>
    <row r="2820">
      <c r="A2820" s="3">
        <f>IFERROR(__xludf.DUMMYFUNCTION("""COMPUTED_VALUE"""),34095.0)</f>
        <v>34095</v>
      </c>
    </row>
    <row r="2821">
      <c r="A2821" s="3">
        <f>IFERROR(__xludf.DUMMYFUNCTION("""COMPUTED_VALUE"""),756731.0)</f>
        <v>756731</v>
      </c>
    </row>
    <row r="2822">
      <c r="A2822" s="3">
        <f>IFERROR(__xludf.DUMMYFUNCTION("""COMPUTED_VALUE"""),5279.0)</f>
        <v>5279</v>
      </c>
    </row>
    <row r="2823">
      <c r="A2823" s="3">
        <f>IFERROR(__xludf.DUMMYFUNCTION("""COMPUTED_VALUE"""),7524.0)</f>
        <v>7524</v>
      </c>
    </row>
    <row r="2824">
      <c r="A2824" s="3">
        <f>IFERROR(__xludf.DUMMYFUNCTION("""COMPUTED_VALUE"""),47.0)</f>
        <v>47</v>
      </c>
    </row>
    <row r="2825">
      <c r="A2825" s="3">
        <f>IFERROR(__xludf.DUMMYFUNCTION("""COMPUTED_VALUE"""),2.0)</f>
        <v>2</v>
      </c>
    </row>
    <row r="2826">
      <c r="A2826" s="3">
        <f>IFERROR(__xludf.DUMMYFUNCTION("""COMPUTED_VALUE"""),10368.0)</f>
        <v>10368</v>
      </c>
    </row>
    <row r="2827">
      <c r="A2827" s="3">
        <f>IFERROR(__xludf.DUMMYFUNCTION("""COMPUTED_VALUE"""),88285.0)</f>
        <v>88285</v>
      </c>
    </row>
    <row r="2828">
      <c r="A2828" s="3">
        <f>IFERROR(__xludf.DUMMYFUNCTION("""COMPUTED_VALUE"""),26206.0)</f>
        <v>26206</v>
      </c>
    </row>
    <row r="2829">
      <c r="A2829" s="3">
        <f>IFERROR(__xludf.DUMMYFUNCTION("""COMPUTED_VALUE"""),244.0)</f>
        <v>244</v>
      </c>
    </row>
    <row r="2830">
      <c r="A2830" s="3">
        <f>IFERROR(__xludf.DUMMYFUNCTION("""COMPUTED_VALUE"""),7114.0)</f>
        <v>7114</v>
      </c>
    </row>
    <row r="2831">
      <c r="A2831" s="3">
        <f>IFERROR(__xludf.DUMMYFUNCTION("""COMPUTED_VALUE"""),27077.0)</f>
        <v>27077</v>
      </c>
    </row>
    <row r="2832">
      <c r="A2832" s="3">
        <f>IFERROR(__xludf.DUMMYFUNCTION("""COMPUTED_VALUE"""),8570.0)</f>
        <v>8570</v>
      </c>
    </row>
    <row r="2833">
      <c r="A2833" s="3">
        <f>IFERROR(__xludf.DUMMYFUNCTION("""COMPUTED_VALUE"""),329439.0)</f>
        <v>329439</v>
      </c>
    </row>
    <row r="2834">
      <c r="A2834" s="3">
        <f>IFERROR(__xludf.DUMMYFUNCTION("""COMPUTED_VALUE"""),1748000.0)</f>
        <v>1748000</v>
      </c>
    </row>
    <row r="2835">
      <c r="A2835" s="3">
        <f>IFERROR(__xludf.DUMMYFUNCTION("""COMPUTED_VALUE"""),373262.0)</f>
        <v>373262</v>
      </c>
    </row>
    <row r="2836">
      <c r="A2836" s="3">
        <f>IFERROR(__xludf.DUMMYFUNCTION("""COMPUTED_VALUE"""),297324.0)</f>
        <v>297324</v>
      </c>
    </row>
    <row r="2837">
      <c r="A2837" s="3">
        <f>IFERROR(__xludf.DUMMYFUNCTION("""COMPUTED_VALUE"""),18088.0)</f>
        <v>18088</v>
      </c>
    </row>
    <row r="2838">
      <c r="A2838" s="3">
        <f>IFERROR(__xludf.DUMMYFUNCTION("""COMPUTED_VALUE"""),1210284.0)</f>
        <v>1210284</v>
      </c>
    </row>
    <row r="2839">
      <c r="A2839" s="3">
        <f>IFERROR(__xludf.DUMMYFUNCTION("""COMPUTED_VALUE"""),824909.0)</f>
        <v>824909</v>
      </c>
    </row>
    <row r="2840">
      <c r="A2840" s="3">
        <f>IFERROR(__xludf.DUMMYFUNCTION("""COMPUTED_VALUE"""),1028702.0)</f>
        <v>1028702</v>
      </c>
    </row>
    <row r="2841">
      <c r="A2841" s="3">
        <f>IFERROR(__xludf.DUMMYFUNCTION("""COMPUTED_VALUE"""),622422.0)</f>
        <v>622422</v>
      </c>
    </row>
    <row r="2842">
      <c r="A2842" s="3">
        <f>IFERROR(__xludf.DUMMYFUNCTION("""COMPUTED_VALUE"""),1012128.0)</f>
        <v>1012128</v>
      </c>
    </row>
    <row r="2843">
      <c r="A2843" s="3">
        <f>IFERROR(__xludf.DUMMYFUNCTION("""COMPUTED_VALUE"""),302507.0)</f>
        <v>302507</v>
      </c>
    </row>
    <row r="2844">
      <c r="A2844" s="3">
        <f>IFERROR(__xludf.DUMMYFUNCTION("""COMPUTED_VALUE"""),26792.0)</f>
        <v>26792</v>
      </c>
    </row>
    <row r="2845">
      <c r="A2845" s="3">
        <f>IFERROR(__xludf.DUMMYFUNCTION("""COMPUTED_VALUE"""),981414.0)</f>
        <v>981414</v>
      </c>
    </row>
    <row r="2846">
      <c r="A2846" s="3">
        <f>IFERROR(__xludf.DUMMYFUNCTION("""COMPUTED_VALUE"""),95.0)</f>
        <v>95</v>
      </c>
    </row>
    <row r="2847">
      <c r="A2847" s="3">
        <f>IFERROR(__xludf.DUMMYFUNCTION("""COMPUTED_VALUE"""),705133.0)</f>
        <v>705133</v>
      </c>
    </row>
    <row r="2848">
      <c r="A2848" s="3">
        <f>IFERROR(__xludf.DUMMYFUNCTION("""COMPUTED_VALUE"""),671696.0)</f>
        <v>671696</v>
      </c>
    </row>
    <row r="2849">
      <c r="A2849" s="3">
        <f>IFERROR(__xludf.DUMMYFUNCTION("""COMPUTED_VALUE"""),353.0)</f>
        <v>353</v>
      </c>
    </row>
    <row r="2850">
      <c r="A2850" s="3">
        <f>IFERROR(__xludf.DUMMYFUNCTION("""COMPUTED_VALUE"""),254524.0)</f>
        <v>254524</v>
      </c>
    </row>
    <row r="2851">
      <c r="A2851" s="3">
        <f>IFERROR(__xludf.DUMMYFUNCTION("""COMPUTED_VALUE"""),55.0)</f>
        <v>55</v>
      </c>
    </row>
    <row r="2852">
      <c r="A2852" s="3">
        <f>IFERROR(__xludf.DUMMYFUNCTION("""COMPUTED_VALUE"""),1476237.0)</f>
        <v>1476237</v>
      </c>
    </row>
    <row r="2853">
      <c r="A2853" s="3">
        <f>IFERROR(__xludf.DUMMYFUNCTION("""COMPUTED_VALUE"""),18742.0)</f>
        <v>18742</v>
      </c>
    </row>
    <row r="2854">
      <c r="A2854" s="3">
        <f>IFERROR(__xludf.DUMMYFUNCTION("""COMPUTED_VALUE"""),507729.0)</f>
        <v>507729</v>
      </c>
    </row>
    <row r="2855">
      <c r="A2855" s="3">
        <f>IFERROR(__xludf.DUMMYFUNCTION("""COMPUTED_VALUE"""),688345.0)</f>
        <v>688345</v>
      </c>
    </row>
    <row r="2856">
      <c r="A2856" s="3">
        <f>IFERROR(__xludf.DUMMYFUNCTION("""COMPUTED_VALUE"""),57353.0)</f>
        <v>57353</v>
      </c>
    </row>
    <row r="2857">
      <c r="A2857" s="3">
        <f>IFERROR(__xludf.DUMMYFUNCTION("""COMPUTED_VALUE"""),1189536.0)</f>
        <v>1189536</v>
      </c>
    </row>
    <row r="2858">
      <c r="A2858" s="3">
        <f>IFERROR(__xludf.DUMMYFUNCTION("""COMPUTED_VALUE"""),2.0)</f>
        <v>2</v>
      </c>
    </row>
    <row r="2859">
      <c r="A2859" s="3">
        <f>IFERROR(__xludf.DUMMYFUNCTION("""COMPUTED_VALUE"""),27897.0)</f>
        <v>27897</v>
      </c>
    </row>
    <row r="2860">
      <c r="A2860" s="3">
        <f>IFERROR(__xludf.DUMMYFUNCTION("""COMPUTED_VALUE"""),73971.0)</f>
        <v>73971</v>
      </c>
    </row>
    <row r="2861">
      <c r="A2861" s="3">
        <f>IFERROR(__xludf.DUMMYFUNCTION("""COMPUTED_VALUE"""),5.0)</f>
        <v>5</v>
      </c>
    </row>
    <row r="2862">
      <c r="A2862" s="3">
        <f>IFERROR(__xludf.DUMMYFUNCTION("""COMPUTED_VALUE"""),343594.0)</f>
        <v>343594</v>
      </c>
    </row>
    <row r="2863">
      <c r="A2863" s="3">
        <f>IFERROR(__xludf.DUMMYFUNCTION("""COMPUTED_VALUE"""),1087770.0)</f>
        <v>1087770</v>
      </c>
    </row>
    <row r="2864">
      <c r="A2864" s="3">
        <f>IFERROR(__xludf.DUMMYFUNCTION("""COMPUTED_VALUE"""),1136717.0)</f>
        <v>1136717</v>
      </c>
    </row>
    <row r="2865">
      <c r="A2865" s="3">
        <f>IFERROR(__xludf.DUMMYFUNCTION("""COMPUTED_VALUE"""),906601.0)</f>
        <v>906601</v>
      </c>
    </row>
    <row r="2866">
      <c r="A2866" s="3">
        <f>IFERROR(__xludf.DUMMYFUNCTION("""COMPUTED_VALUE"""),95.0)</f>
        <v>95</v>
      </c>
    </row>
    <row r="2867">
      <c r="A2867" s="3">
        <f>IFERROR(__xludf.DUMMYFUNCTION("""COMPUTED_VALUE"""),36488.0)</f>
        <v>36488</v>
      </c>
    </row>
    <row r="2868">
      <c r="A2868" s="3">
        <f>IFERROR(__xludf.DUMMYFUNCTION("""COMPUTED_VALUE"""),5.0)</f>
        <v>5</v>
      </c>
    </row>
    <row r="2869">
      <c r="A2869" s="3">
        <f>IFERROR(__xludf.DUMMYFUNCTION("""COMPUTED_VALUE"""),749457.0)</f>
        <v>749457</v>
      </c>
    </row>
    <row r="2870">
      <c r="A2870" s="3">
        <f>IFERROR(__xludf.DUMMYFUNCTION("""COMPUTED_VALUE"""),8312.0)</f>
        <v>8312</v>
      </c>
    </row>
    <row r="2871">
      <c r="A2871" s="3">
        <f>IFERROR(__xludf.DUMMYFUNCTION("""COMPUTED_VALUE"""),38235.0)</f>
        <v>38235</v>
      </c>
    </row>
    <row r="2872">
      <c r="A2872" s="3">
        <f>IFERROR(__xludf.DUMMYFUNCTION("""COMPUTED_VALUE"""),26.0)</f>
        <v>26</v>
      </c>
    </row>
    <row r="2873">
      <c r="A2873" s="3"/>
    </row>
    <row r="2874">
      <c r="A2874" s="3">
        <f>IFERROR(__xludf.DUMMYFUNCTION("""COMPUTED_VALUE"""),8647.0)</f>
        <v>8647</v>
      </c>
    </row>
    <row r="2875">
      <c r="A2875" s="3">
        <f>IFERROR(__xludf.DUMMYFUNCTION("""COMPUTED_VALUE"""),1057575.0)</f>
        <v>1057575</v>
      </c>
    </row>
    <row r="2876">
      <c r="A2876" s="3">
        <f>IFERROR(__xludf.DUMMYFUNCTION("""COMPUTED_VALUE"""),21.0)</f>
        <v>21</v>
      </c>
    </row>
    <row r="2877">
      <c r="A2877" s="3">
        <f>IFERROR(__xludf.DUMMYFUNCTION("""COMPUTED_VALUE"""),1435687.0)</f>
        <v>1435687</v>
      </c>
    </row>
    <row r="2878">
      <c r="A2878" s="3">
        <f>IFERROR(__xludf.DUMMYFUNCTION("""COMPUTED_VALUE"""),80718.0)</f>
        <v>80718</v>
      </c>
    </row>
    <row r="2879">
      <c r="A2879" s="3">
        <f>IFERROR(__xludf.DUMMYFUNCTION("""COMPUTED_VALUE"""),462321.0)</f>
        <v>462321</v>
      </c>
    </row>
    <row r="2880">
      <c r="A2880" s="3">
        <f>IFERROR(__xludf.DUMMYFUNCTION("""COMPUTED_VALUE"""),1130000.0)</f>
        <v>1130000</v>
      </c>
    </row>
    <row r="2881">
      <c r="A2881" s="3">
        <f>IFERROR(__xludf.DUMMYFUNCTION("""COMPUTED_VALUE"""),19118.0)</f>
        <v>19118</v>
      </c>
    </row>
    <row r="2882">
      <c r="A2882" s="3">
        <f>IFERROR(__xludf.DUMMYFUNCTION("""COMPUTED_VALUE"""),1335445.0)</f>
        <v>1335445</v>
      </c>
    </row>
    <row r="2883">
      <c r="A2883" s="3">
        <f>IFERROR(__xludf.DUMMYFUNCTION("""COMPUTED_VALUE"""),60.0)</f>
        <v>60</v>
      </c>
    </row>
    <row r="2884">
      <c r="A2884" s="3">
        <f>IFERROR(__xludf.DUMMYFUNCTION("""COMPUTED_VALUE"""),2901309.0)</f>
        <v>2901309</v>
      </c>
    </row>
    <row r="2885">
      <c r="A2885" s="3">
        <f>IFERROR(__xludf.DUMMYFUNCTION("""COMPUTED_VALUE"""),8.0)</f>
        <v>8</v>
      </c>
    </row>
    <row r="2886">
      <c r="A2886" s="3">
        <f>IFERROR(__xludf.DUMMYFUNCTION("""COMPUTED_VALUE"""),9811.0)</f>
        <v>9811</v>
      </c>
    </row>
    <row r="2887">
      <c r="A2887" s="3">
        <f>IFERROR(__xludf.DUMMYFUNCTION("""COMPUTED_VALUE"""),0.0)</f>
        <v>0</v>
      </c>
    </row>
    <row r="2888">
      <c r="A2888" s="3">
        <f>IFERROR(__xludf.DUMMYFUNCTION("""COMPUTED_VALUE"""),100743.0)</f>
        <v>100743</v>
      </c>
    </row>
    <row r="2889">
      <c r="A2889" s="3">
        <f>IFERROR(__xludf.DUMMYFUNCTION("""COMPUTED_VALUE"""),5167.0)</f>
        <v>5167</v>
      </c>
    </row>
    <row r="2890">
      <c r="A2890" s="3">
        <f>IFERROR(__xludf.DUMMYFUNCTION("""COMPUTED_VALUE"""),3762.0)</f>
        <v>3762</v>
      </c>
    </row>
    <row r="2891">
      <c r="A2891" s="3">
        <f>IFERROR(__xludf.DUMMYFUNCTION("""COMPUTED_VALUE"""),8145.0)</f>
        <v>8145</v>
      </c>
    </row>
    <row r="2892">
      <c r="A2892" s="3">
        <f>IFERROR(__xludf.DUMMYFUNCTION("""COMPUTED_VALUE"""),1587265.0)</f>
        <v>1587265</v>
      </c>
    </row>
    <row r="2893">
      <c r="A2893" s="3">
        <f>IFERROR(__xludf.DUMMYFUNCTION("""COMPUTED_VALUE"""),23173.0)</f>
        <v>23173</v>
      </c>
    </row>
    <row r="2894">
      <c r="A2894" s="3">
        <f>IFERROR(__xludf.DUMMYFUNCTION("""COMPUTED_VALUE"""),5180.0)</f>
        <v>5180</v>
      </c>
    </row>
    <row r="2895">
      <c r="A2895" s="3">
        <f>IFERROR(__xludf.DUMMYFUNCTION("""COMPUTED_VALUE"""),751286.0)</f>
        <v>751286</v>
      </c>
    </row>
    <row r="2896">
      <c r="A2896" s="3">
        <f>IFERROR(__xludf.DUMMYFUNCTION("""COMPUTED_VALUE"""),410952.0)</f>
        <v>410952</v>
      </c>
    </row>
    <row r="2897">
      <c r="A2897" s="3">
        <f>IFERROR(__xludf.DUMMYFUNCTION("""COMPUTED_VALUE"""),939843.0)</f>
        <v>939843</v>
      </c>
    </row>
  </sheetData>
  <drawing r:id="rId1"/>
</worksheet>
</file>