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75" windowWidth="16935" windowHeight="8670" tabRatio="772" activeTab="1"/>
  </bookViews>
  <sheets>
    <sheet name="end &amp; midpoint" sheetId="5" r:id="rId1"/>
    <sheet name="heading &amp; distance" sheetId="6" r:id="rId2"/>
    <sheet name="area &amp; perimeter" sheetId="3" r:id="rId3"/>
    <sheet name="conversion" sheetId="1" r:id="rId4"/>
  </sheets>
  <definedNames>
    <definedName name="OLE_LINK13" localSheetId="1">'heading &amp; distance'!$B$6</definedName>
    <definedName name="OLE_LINK15" localSheetId="1">'heading &amp; distance'!$B$7</definedName>
    <definedName name="OLE_LINK4" localSheetId="1">'heading &amp; distance'!$B$6</definedName>
  </definedNames>
  <calcPr calcId="124519"/>
</workbook>
</file>

<file path=xl/calcChain.xml><?xml version="1.0" encoding="utf-8"?>
<calcChain xmlns="http://schemas.openxmlformats.org/spreadsheetml/2006/main">
  <c r="C14" i="6"/>
  <c r="C15"/>
  <c r="C18" s="1"/>
  <c r="C16" l="1"/>
  <c r="C19"/>
  <c r="C20" s="1"/>
  <c r="D7" i="5"/>
  <c r="B15" i="6"/>
  <c r="B23" l="1"/>
  <c r="B22"/>
  <c r="C7" i="5"/>
  <c r="B7"/>
  <c r="B23" s="1"/>
  <c r="B14" i="6"/>
  <c r="C22" l="1"/>
  <c r="C9" s="1"/>
  <c r="C23" i="5"/>
  <c r="B19" i="6"/>
  <c r="B11"/>
  <c r="B18"/>
  <c r="B16"/>
  <c r="F29" i="3"/>
  <c r="E29"/>
  <c r="F28"/>
  <c r="E28"/>
  <c r="F27"/>
  <c r="E27"/>
  <c r="F26"/>
  <c r="E26"/>
  <c r="F25"/>
  <c r="E25"/>
  <c r="F24"/>
  <c r="E24"/>
  <c r="F23"/>
  <c r="E23"/>
  <c r="F22"/>
  <c r="E22"/>
  <c r="F21"/>
  <c r="E21"/>
  <c r="F20"/>
  <c r="E20"/>
  <c r="F19"/>
  <c r="E19"/>
  <c r="D18"/>
  <c r="D17"/>
  <c r="D16"/>
  <c r="D15"/>
  <c r="D14"/>
  <c r="D13"/>
  <c r="D12"/>
  <c r="D11"/>
  <c r="D10"/>
  <c r="F6"/>
  <c r="F7" s="1"/>
  <c r="H20" l="1"/>
  <c r="H21"/>
  <c r="H22"/>
  <c r="H23"/>
  <c r="H24"/>
  <c r="H25"/>
  <c r="H26"/>
  <c r="H27"/>
  <c r="H28"/>
  <c r="H29"/>
  <c r="G20"/>
  <c r="G21"/>
  <c r="G22"/>
  <c r="G23"/>
  <c r="G24"/>
  <c r="G25"/>
  <c r="G26"/>
  <c r="G27"/>
  <c r="G28"/>
  <c r="G29"/>
  <c r="D18" i="6"/>
  <c r="E7" s="1"/>
  <c r="B20"/>
  <c r="E6"/>
  <c r="E18" i="3"/>
  <c r="F17"/>
  <c r="E16"/>
  <c r="F15"/>
  <c r="E14"/>
  <c r="F13"/>
  <c r="E12"/>
  <c r="F11"/>
  <c r="F18"/>
  <c r="E17"/>
  <c r="F16"/>
  <c r="H16" s="1"/>
  <c r="E15"/>
  <c r="F14"/>
  <c r="H14" s="1"/>
  <c r="E13"/>
  <c r="F12"/>
  <c r="H12" s="1"/>
  <c r="E11"/>
  <c r="C25" i="6" l="1"/>
  <c r="C26" s="1"/>
  <c r="H18" i="3"/>
  <c r="B9" i="6"/>
  <c r="B25" s="1"/>
  <c r="H11" i="3"/>
  <c r="G11"/>
  <c r="G12"/>
  <c r="G14"/>
  <c r="G16"/>
  <c r="G18"/>
  <c r="H13"/>
  <c r="H15"/>
  <c r="H17"/>
  <c r="H19"/>
  <c r="G13"/>
  <c r="G15"/>
  <c r="G17"/>
  <c r="G19"/>
  <c r="E9" i="6" l="1"/>
  <c r="B26"/>
  <c r="H30" i="3"/>
  <c r="G30"/>
  <c r="B18" i="5" l="1"/>
  <c r="C18" s="1"/>
  <c r="C17" s="1"/>
  <c r="B27" l="1"/>
  <c r="B22"/>
  <c r="B24" s="1"/>
  <c r="D19" i="1"/>
  <c r="E19" s="1"/>
  <c r="D18"/>
  <c r="E18" s="1"/>
  <c r="F9"/>
  <c r="F8"/>
  <c r="C27" i="5" l="1"/>
  <c r="F18" i="1"/>
  <c r="C22" i="5"/>
  <c r="F19" i="1"/>
  <c r="B17" i="5" l="1"/>
  <c r="C19" l="1"/>
  <c r="B9" s="1"/>
  <c r="C24"/>
  <c r="D17" s="1"/>
  <c r="C9" l="1"/>
  <c r="C10" s="1"/>
  <c r="C13" s="1"/>
  <c r="C26" l="1"/>
  <c r="C28" s="1"/>
  <c r="B10"/>
  <c r="B13" l="1"/>
  <c r="B26"/>
  <c r="D13" l="1"/>
  <c r="B28"/>
</calcChain>
</file>

<file path=xl/sharedStrings.xml><?xml version="1.0" encoding="utf-8"?>
<sst xmlns="http://schemas.openxmlformats.org/spreadsheetml/2006/main" count="193" uniqueCount="127">
  <si>
    <t>Coordinates conversion</t>
  </si>
  <si>
    <t>Global Positioning System</t>
  </si>
  <si>
    <t>GUIDE</t>
  </si>
  <si>
    <t>Convert latitude and longitude in sexagesimal (degrees minutes seconds) to decimal. </t>
  </si>
  <si>
    <t>Latitude = South or North</t>
  </si>
  <si>
    <t>Konversi lintang dan bujur dari sexagesimal (derajat menit detik) menjadi desimal</t>
  </si>
  <si>
    <t>Longitude = East or West</t>
  </si>
  <si>
    <t>Blue cells contain formulae</t>
  </si>
  <si>
    <t>Input Sexagesimal coordinate</t>
  </si>
  <si>
    <t>Output</t>
  </si>
  <si>
    <t>Degree</t>
  </si>
  <si>
    <t>Minute</t>
  </si>
  <si>
    <t>Second</t>
  </si>
  <si>
    <t>in decimal</t>
  </si>
  <si>
    <t>North and East coordinates have positive number (+)</t>
  </si>
  <si>
    <t>latitude</t>
  </si>
  <si>
    <t>South and West coordinates have negative number (-)</t>
  </si>
  <si>
    <t>longitude</t>
  </si>
  <si>
    <t>Convert latitude and longitude in decimal to sexagesimal (degrees minutes seconds). </t>
  </si>
  <si>
    <t>Konversi lintang dan bujur dari desimal menjadi sexagesimal (derajat menit detik)</t>
  </si>
  <si>
    <t>PETUNJUK</t>
  </si>
  <si>
    <t>Lintang = Selatan atau Utara</t>
  </si>
  <si>
    <t>Input</t>
  </si>
  <si>
    <t>Output Sexagesimal coordinate</t>
  </si>
  <si>
    <t>Bujur = Timur atau Barat</t>
  </si>
  <si>
    <t>Sel biru berisi formula</t>
  </si>
  <si>
    <t>Koordinat Utara dan Timur mempunyai angka positif (+)</t>
  </si>
  <si>
    <t>Koordinat Selatan dan Barat mempunyai angka negatif (-)</t>
  </si>
  <si>
    <t>examples of Sexagesimal</t>
  </si>
  <si>
    <t>Jakarta</t>
  </si>
  <si>
    <t>Bangkok</t>
  </si>
  <si>
    <t>13°45′8″N</t>
  </si>
  <si>
    <t>100°29′38″E</t>
  </si>
  <si>
    <t>Singapore</t>
  </si>
  <si>
    <t>1°17′N</t>
  </si>
  <si>
    <t>103°50′E</t>
  </si>
  <si>
    <t>Latitude</t>
  </si>
  <si>
    <t>Longitude</t>
  </si>
  <si>
    <t>http://en.wikipedia.org/wiki/Earth_radius</t>
  </si>
  <si>
    <t>More detail in article:</t>
  </si>
  <si>
    <t>Lebih detail di artikel:</t>
  </si>
  <si>
    <t>http://maruzar.blogspot.com/2011/10/calculate-straight-distance-between-two.html</t>
  </si>
  <si>
    <t>http://maruzar.blogspot.com/2011/10/jika-anda-perlu-menghitung-jarak-garis.html</t>
  </si>
  <si>
    <t>Land Lot Area and Perimeter Calculation</t>
  </si>
  <si>
    <t>Earth</t>
  </si>
  <si>
    <t>Radius</t>
  </si>
  <si>
    <t>meters</t>
  </si>
  <si>
    <t>Diameter</t>
  </si>
  <si>
    <t>Circumference</t>
  </si>
  <si>
    <t>lat radian</t>
  </si>
  <si>
    <t>Y</t>
  </si>
  <si>
    <t>X</t>
  </si>
  <si>
    <t>Area</t>
  </si>
  <si>
    <t>Perimeter</t>
  </si>
  <si>
    <t>Total</t>
  </si>
  <si>
    <r>
      <t>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</si>
  <si>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m</t>
  </si>
  <si>
    <t>Input data in yellow cells only</t>
  </si>
  <si>
    <t>Input data hanya pada sel kuning</t>
  </si>
  <si>
    <t>Always input from top cells</t>
  </si>
  <si>
    <t>Selalu input dari sel paling atas</t>
  </si>
  <si>
    <t>No empty row in the middle</t>
  </si>
  <si>
    <t>Tidak ada baris kosong ditengah data</t>
  </si>
  <si>
    <t>List vertices in clockwise order</t>
  </si>
  <si>
    <t>Titik sudut diurut berdasarkan putaran jam</t>
  </si>
  <si>
    <t>Start at lower left vertex (starting point)</t>
  </si>
  <si>
    <t>Mulai dari sudut bawah kiri (titik start)</t>
  </si>
  <si>
    <t>End data with the same vertex (starting point), to make closed polygon</t>
  </si>
  <si>
    <t>Akhiri data dengan sudut bawah kiri (titik start), agar poligon menjadi tertutup</t>
  </si>
  <si>
    <r>
      <t xml:space="preserve">Make sure </t>
    </r>
    <r>
      <rPr>
        <b/>
        <sz val="11"/>
        <color theme="1"/>
        <rFont val="Calibri"/>
        <family val="2"/>
        <scheme val="minor"/>
      </rPr>
      <t>longitude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latitude</t>
    </r>
    <r>
      <rPr>
        <sz val="11"/>
        <color theme="1"/>
        <rFont val="Calibri"/>
        <family val="2"/>
        <scheme val="minor"/>
      </rPr>
      <t xml:space="preserve"> are written in correct collumn</t>
    </r>
  </si>
  <si>
    <r>
      <t xml:space="preserve">Pastikan </t>
    </r>
    <r>
      <rPr>
        <b/>
        <sz val="11"/>
        <color theme="1"/>
        <rFont val="Calibri"/>
        <family val="2"/>
        <scheme val="minor"/>
      </rPr>
      <t>bujur</t>
    </r>
    <r>
      <rPr>
        <sz val="11"/>
        <color theme="1"/>
        <rFont val="Calibri"/>
        <family val="2"/>
        <scheme val="minor"/>
      </rPr>
      <t xml:space="preserve"> dan </t>
    </r>
    <r>
      <rPr>
        <b/>
        <sz val="11"/>
        <color theme="1"/>
        <rFont val="Calibri"/>
        <family val="2"/>
        <scheme val="minor"/>
      </rPr>
      <t>lintang</t>
    </r>
    <r>
      <rPr>
        <sz val="11"/>
        <color theme="1"/>
        <rFont val="Calibri"/>
        <family val="2"/>
        <scheme val="minor"/>
      </rPr>
      <t xml:space="preserve"> ditulis pada kolom yang benar</t>
    </r>
  </si>
  <si>
    <t>Google maps uses latitude and longitude data sequence, not vice versa</t>
  </si>
  <si>
    <t>Google maps menggunakan urutan data lintang dan bujur, bukan sebaliknya</t>
  </si>
  <si>
    <t>Earth circumference can be adjusted</t>
  </si>
  <si>
    <t>Keliling bumi dapat disesuaikan</t>
  </si>
  <si>
    <t>END POINT</t>
  </si>
  <si>
    <t>MID POINT</t>
  </si>
  <si>
    <t xml:space="preserve">Latitude </t>
  </si>
  <si>
    <t>Input in yellow cells only</t>
  </si>
  <si>
    <t>Input hanya di sel kuning</t>
  </si>
  <si>
    <t>EARTH RADIUS (km)</t>
  </si>
  <si>
    <t>Start</t>
  </si>
  <si>
    <t xml:space="preserve">End </t>
  </si>
  <si>
    <t>Distance (km)</t>
  </si>
  <si>
    <t>Final heading adalah arah saat tiba di titik akhir atau tujuan</t>
  </si>
  <si>
    <t>Final heading is direction when arriving at end / destination point</t>
  </si>
  <si>
    <t>Initial heading is direction when leaving start point</t>
  </si>
  <si>
    <t>Initial heading adalah arah ketika meninggalkan titik start</t>
  </si>
  <si>
    <t>Heading &amp; Distance calculation by 2 GPS Coordinates</t>
  </si>
  <si>
    <t>Earth radius</t>
  </si>
  <si>
    <t>FINAL HEADING</t>
  </si>
  <si>
    <t>http://maruzar.blogspot.com/2012/03/menghitung-luas-tanah-dengan-koordinat.html</t>
  </si>
  <si>
    <t>http://maruzar.blogspot.com/2012/03/calculating-land-lot-area-with-gps.html</t>
  </si>
  <si>
    <t>http://maruzar.blogspot.com/2012/11/menghitung-sudut-heading-atau-bearing.html</t>
  </si>
  <si>
    <t>http://maruzar.blogspot.com/2012/12/calculating-heading-or-bearing-angleof.html</t>
  </si>
  <si>
    <t>http://maruzar.blogspot.com/2013/03/kalkulasi-koordinat-gps-berdasar-data.html</t>
  </si>
  <si>
    <t>http://maruzar.blogspot.com/2013/04/find-gps-destination-by-start-point.html</t>
  </si>
  <si>
    <t>START POINT</t>
  </si>
  <si>
    <t>Input data: Start point, Heading, Distance</t>
  </si>
  <si>
    <t>Mid point is coordinates in halfway distance</t>
  </si>
  <si>
    <t>Mid point adalah koordinat dipertengahan</t>
  </si>
  <si>
    <t>Midpoint</t>
  </si>
  <si>
    <t>DISTANCE (km)</t>
  </si>
  <si>
    <t xml:space="preserve">Initial </t>
  </si>
  <si>
    <t xml:space="preserve">Final </t>
  </si>
  <si>
    <t xml:space="preserve">INITIAL HEADING </t>
  </si>
  <si>
    <t>HEADING</t>
  </si>
  <si>
    <t>Mid point heading adalah arah saat tiba di titik tengah menuju tujuan</t>
  </si>
  <si>
    <t>Mid point heading is direction when arriving at mid point to end point</t>
  </si>
  <si>
    <t>Heading</t>
  </si>
  <si>
    <t>Mid</t>
  </si>
  <si>
    <t>Mid point adalah koordinat dipertengahan perjalanan</t>
  </si>
  <si>
    <t>Rio de Janeiro</t>
  </si>
  <si>
    <t xml:space="preserve">22°54′12″S </t>
  </si>
  <si>
    <t>43°12′34″W</t>
  </si>
  <si>
    <t>6°10'31"S</t>
  </si>
  <si>
    <t>106°49'37"E</t>
  </si>
  <si>
    <t>seperti Rio de Janeiroo Sexagesimal koordinat</t>
  </si>
  <si>
    <t>Nilai negatif dari Selatan dan Barat harus ditulis di semua kolom (Degree, Minute, Second)</t>
  </si>
  <si>
    <t>Negative value for South and West must be written on all columns (Degree, Minute, Second)</t>
  </si>
  <si>
    <t xml:space="preserve">like Rio de Janeiro Sexagesimal coordinates </t>
  </si>
  <si>
    <t>Change km to mile by writing earth radius in mile</t>
  </si>
  <si>
    <t>Rubah km ke mil dengan menulis radius bumi dalam mil</t>
  </si>
  <si>
    <t>Earth radius can be changed for better accuracy to suit different location</t>
  </si>
  <si>
    <t>Radius bumi dapat dirubah agar lebih akurat sesuai perbedaan lokasi</t>
  </si>
  <si>
    <t>Rubah meter ke feet dengan menulis radius bumi dalam feet</t>
  </si>
  <si>
    <t>Change meter to feet by writing earth radius in feet</t>
  </si>
</sst>
</file>

<file path=xl/styles.xml><?xml version="1.0" encoding="utf-8"?>
<styleSheet xmlns="http://schemas.openxmlformats.org/spreadsheetml/2006/main">
  <numFmts count="12">
    <numFmt numFmtId="43" formatCode="_(* #,##0.00_);_(* \(#,##0.00\);_(* &quot;-&quot;??_);_(@_)"/>
    <numFmt numFmtId="164" formatCode="_(* #,##0.00000_);_(* \(#,##0.00000\);_(* &quot;-&quot;??_);_(@_)"/>
    <numFmt numFmtId="165" formatCode="_(* #,##0.000000000_);_(* \(#,##0.000000000\);_(* &quot;-&quot;??_);_(@_)"/>
    <numFmt numFmtId="166" formatCode="_(* #,##0.000_);_(* \(#,##0.000\);_(* &quot;-&quot;??_);_(@_)"/>
    <numFmt numFmtId="167" formatCode="0.000000"/>
    <numFmt numFmtId="168" formatCode="_(* #,##0_);_(* \(#,##0\);_(* &quot;-&quot;??_);_(@_)"/>
    <numFmt numFmtId="169" formatCode="#,##0.000"/>
    <numFmt numFmtId="170" formatCode="#,##0.000000"/>
    <numFmt numFmtId="171" formatCode="#,##0.0"/>
    <numFmt numFmtId="172" formatCode="_(* #,##0.0_);_(* \(#,##0.0\);_(* &quot;-&quot;??_);_(@_)"/>
    <numFmt numFmtId="173" formatCode="0.000"/>
    <numFmt numFmtId="174" formatCode="0.0000000000000000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4" tint="-0.249977111117893"/>
      <name val="Arial"/>
      <family val="2"/>
    </font>
    <font>
      <sz val="14"/>
      <color theme="1"/>
      <name val="Calibri"/>
      <family val="2"/>
      <charset val="1"/>
      <scheme val="minor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8"/>
      <color theme="10"/>
      <name val="Calibri"/>
      <family val="2"/>
      <charset val="1"/>
    </font>
    <font>
      <sz val="11"/>
      <color rgb="FF333333"/>
      <name val="Verdana"/>
      <family val="2"/>
    </font>
    <font>
      <i/>
      <sz val="11"/>
      <color rgb="FF333333"/>
      <name val="Verdana"/>
      <family val="2"/>
    </font>
    <font>
      <b/>
      <sz val="16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2" tint="-0.499984740745262"/>
      <name val="Arial"/>
      <family val="2"/>
    </font>
    <font>
      <b/>
      <vertAlign val="superscript"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11"/>
      <color rgb="FFFF0000"/>
      <name val="Calibri"/>
      <family val="2"/>
      <scheme val="minor"/>
    </font>
    <font>
      <sz val="9"/>
      <color theme="3"/>
      <name val="Lucida Sans Unicode"/>
      <family val="2"/>
    </font>
    <font>
      <sz val="11"/>
      <color theme="3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55">
    <xf numFmtId="0" fontId="0" fillId="0" borderId="0" xfId="0"/>
    <xf numFmtId="0" fontId="4" fillId="0" borderId="0" xfId="2" applyFont="1" applyAlignment="1">
      <alignment horizontal="center" wrapText="1"/>
    </xf>
    <xf numFmtId="0" fontId="5" fillId="0" borderId="0" xfId="2" applyFont="1"/>
    <xf numFmtId="0" fontId="3" fillId="0" borderId="0" xfId="2"/>
    <xf numFmtId="0" fontId="6" fillId="0" borderId="0" xfId="2" applyFont="1"/>
    <xf numFmtId="0" fontId="2" fillId="0" borderId="0" xfId="2" applyFont="1"/>
    <xf numFmtId="0" fontId="7" fillId="0" borderId="0" xfId="2" applyFont="1"/>
    <xf numFmtId="164" fontId="0" fillId="0" borderId="0" xfId="3" applyNumberFormat="1" applyFont="1"/>
    <xf numFmtId="165" fontId="8" fillId="0" borderId="0" xfId="3" applyNumberFormat="1" applyFont="1" applyBorder="1" applyAlignment="1"/>
    <xf numFmtId="166" fontId="0" fillId="0" borderId="0" xfId="3" applyNumberFormat="1" applyFont="1"/>
    <xf numFmtId="165" fontId="0" fillId="0" borderId="0" xfId="3" applyNumberFormat="1" applyFont="1"/>
    <xf numFmtId="0" fontId="2" fillId="0" borderId="3" xfId="2" applyFont="1" applyBorder="1" applyAlignment="1">
      <alignment horizontal="center"/>
    </xf>
    <xf numFmtId="167" fontId="9" fillId="0" borderId="0" xfId="3" applyNumberFormat="1" applyFont="1"/>
    <xf numFmtId="0" fontId="10" fillId="0" borderId="0" xfId="2" applyFont="1"/>
    <xf numFmtId="0" fontId="11" fillId="0" borderId="0" xfId="2" applyFont="1"/>
    <xf numFmtId="0" fontId="10" fillId="0" borderId="4" xfId="2" applyFont="1" applyBorder="1"/>
    <xf numFmtId="164" fontId="10" fillId="0" borderId="5" xfId="3" applyNumberFormat="1" applyFont="1" applyBorder="1"/>
    <xf numFmtId="165" fontId="10" fillId="0" borderId="5" xfId="3" applyNumberFormat="1" applyFont="1" applyBorder="1"/>
    <xf numFmtId="0" fontId="10" fillId="0" borderId="6" xfId="2" applyFont="1" applyBorder="1" applyAlignment="1">
      <alignment horizontal="center"/>
    </xf>
    <xf numFmtId="166" fontId="10" fillId="0" borderId="0" xfId="3" applyNumberFormat="1" applyFont="1"/>
    <xf numFmtId="0" fontId="1" fillId="0" borderId="0" xfId="2" applyFont="1"/>
    <xf numFmtId="0" fontId="3" fillId="0" borderId="0" xfId="2" applyAlignment="1">
      <alignment horizontal="right"/>
    </xf>
    <xf numFmtId="0" fontId="3" fillId="0" borderId="0" xfId="2" applyBorder="1"/>
    <xf numFmtId="43" fontId="0" fillId="0" borderId="0" xfId="3" applyNumberFormat="1" applyFont="1" applyBorder="1"/>
    <xf numFmtId="43" fontId="0" fillId="0" borderId="0" xfId="3" applyNumberFormat="1" applyFont="1" applyFill="1" applyBorder="1"/>
    <xf numFmtId="164" fontId="0" fillId="0" borderId="0" xfId="3" applyNumberFormat="1" applyFont="1" applyFill="1" applyBorder="1"/>
    <xf numFmtId="166" fontId="0" fillId="0" borderId="0" xfId="3" applyNumberFormat="1" applyFont="1" applyFill="1" applyBorder="1"/>
    <xf numFmtId="167" fontId="12" fillId="0" borderId="0" xfId="3" applyNumberFormat="1" applyFont="1"/>
    <xf numFmtId="165" fontId="1" fillId="0" borderId="0" xfId="3" applyNumberFormat="1" applyFont="1"/>
    <xf numFmtId="164" fontId="8" fillId="0" borderId="11" xfId="3" applyNumberFormat="1" applyFont="1" applyBorder="1" applyAlignment="1">
      <alignment horizontal="center"/>
    </xf>
    <xf numFmtId="0" fontId="10" fillId="0" borderId="13" xfId="2" applyFont="1" applyBorder="1" applyAlignment="1">
      <alignment horizontal="center"/>
    </xf>
    <xf numFmtId="0" fontId="10" fillId="0" borderId="5" xfId="2" applyFont="1" applyBorder="1"/>
    <xf numFmtId="165" fontId="10" fillId="0" borderId="10" xfId="3" applyNumberFormat="1" applyFont="1" applyBorder="1"/>
    <xf numFmtId="0" fontId="3" fillId="0" borderId="0" xfId="2" applyAlignment="1">
      <alignment horizontal="left"/>
    </xf>
    <xf numFmtId="0" fontId="3" fillId="0" borderId="0" xfId="2" applyAlignment="1"/>
    <xf numFmtId="0" fontId="2" fillId="0" borderId="15" xfId="2" applyFont="1" applyBorder="1" applyAlignment="1">
      <alignment horizontal="center"/>
    </xf>
    <xf numFmtId="166" fontId="1" fillId="0" borderId="0" xfId="3" applyNumberFormat="1" applyFont="1"/>
    <xf numFmtId="0" fontId="14" fillId="0" borderId="0" xfId="5" applyFont="1" applyAlignment="1" applyProtection="1"/>
    <xf numFmtId="43" fontId="1" fillId="0" borderId="0" xfId="2" applyNumberFormat="1" applyFont="1"/>
    <xf numFmtId="0" fontId="15" fillId="0" borderId="0" xfId="4" applyFont="1" applyAlignment="1">
      <alignment wrapText="1"/>
    </xf>
    <xf numFmtId="0" fontId="16" fillId="0" borderId="0" xfId="4" applyFont="1" applyAlignment="1"/>
    <xf numFmtId="0" fontId="1" fillId="0" borderId="15" xfId="2" applyFont="1" applyBorder="1"/>
    <xf numFmtId="167" fontId="1" fillId="0" borderId="0" xfId="2" applyNumberFormat="1" applyFont="1"/>
    <xf numFmtId="0" fontId="17" fillId="0" borderId="0" xfId="2" applyFont="1" applyAlignment="1"/>
    <xf numFmtId="0" fontId="13" fillId="0" borderId="0" xfId="5" applyAlignment="1" applyProtection="1"/>
    <xf numFmtId="0" fontId="1" fillId="0" borderId="18" xfId="2" applyFont="1" applyBorder="1"/>
    <xf numFmtId="168" fontId="1" fillId="3" borderId="19" xfId="3" applyNumberFormat="1" applyFont="1" applyFill="1" applyBorder="1"/>
    <xf numFmtId="0" fontId="1" fillId="0" borderId="0" xfId="2" applyFont="1" applyAlignment="1">
      <alignment horizontal="left"/>
    </xf>
    <xf numFmtId="0" fontId="1" fillId="0" borderId="20" xfId="2" applyFont="1" applyBorder="1"/>
    <xf numFmtId="168" fontId="1" fillId="0" borderId="21" xfId="3" applyNumberFormat="1" applyFont="1" applyFill="1" applyBorder="1"/>
    <xf numFmtId="169" fontId="18" fillId="0" borderId="0" xfId="2" applyNumberFormat="1" applyFont="1"/>
    <xf numFmtId="0" fontId="1" fillId="0" borderId="22" xfId="2" applyFont="1" applyBorder="1"/>
    <xf numFmtId="168" fontId="1" fillId="0" borderId="23" xfId="3" applyNumberFormat="1" applyFont="1" applyFill="1" applyBorder="1"/>
    <xf numFmtId="168" fontId="2" fillId="0" borderId="15" xfId="3" applyNumberFormat="1" applyFont="1" applyBorder="1" applyAlignment="1">
      <alignment horizontal="center"/>
    </xf>
    <xf numFmtId="0" fontId="19" fillId="0" borderId="15" xfId="2" applyFont="1" applyBorder="1" applyAlignment="1">
      <alignment horizontal="center"/>
    </xf>
    <xf numFmtId="0" fontId="19" fillId="0" borderId="15" xfId="2" applyFont="1" applyFill="1" applyBorder="1" applyAlignment="1">
      <alignment horizontal="center"/>
    </xf>
    <xf numFmtId="0" fontId="1" fillId="0" borderId="0" xfId="2" applyFont="1" applyBorder="1"/>
    <xf numFmtId="170" fontId="18" fillId="3" borderId="15" xfId="3" applyNumberFormat="1" applyFont="1" applyFill="1" applyBorder="1" applyAlignment="1">
      <alignment wrapText="1"/>
    </xf>
    <xf numFmtId="170" fontId="20" fillId="3" borderId="15" xfId="3" applyNumberFormat="1" applyFont="1" applyFill="1" applyBorder="1"/>
    <xf numFmtId="170" fontId="18" fillId="4" borderId="15" xfId="3" applyNumberFormat="1" applyFont="1" applyFill="1" applyBorder="1" applyAlignment="1">
      <alignment wrapText="1"/>
    </xf>
    <xf numFmtId="168" fontId="21" fillId="0" borderId="15" xfId="3" applyNumberFormat="1" applyFont="1" applyBorder="1"/>
    <xf numFmtId="0" fontId="21" fillId="0" borderId="15" xfId="2" applyFont="1" applyBorder="1"/>
    <xf numFmtId="43" fontId="0" fillId="0" borderId="0" xfId="3" applyFont="1"/>
    <xf numFmtId="171" fontId="21" fillId="0" borderId="15" xfId="2" applyNumberFormat="1" applyFont="1" applyBorder="1"/>
    <xf numFmtId="170" fontId="18" fillId="3" borderId="15" xfId="3" applyNumberFormat="1" applyFont="1" applyFill="1" applyBorder="1"/>
    <xf numFmtId="170" fontId="11" fillId="3" borderId="15" xfId="3" applyNumberFormat="1" applyFont="1" applyFill="1" applyBorder="1"/>
    <xf numFmtId="170" fontId="18" fillId="4" borderId="15" xfId="3" applyNumberFormat="1" applyFont="1" applyFill="1" applyBorder="1"/>
    <xf numFmtId="170" fontId="11" fillId="4" borderId="15" xfId="3" applyNumberFormat="1" applyFont="1" applyFill="1" applyBorder="1"/>
    <xf numFmtId="170" fontId="20" fillId="4" borderId="15" xfId="3" applyNumberFormat="1" applyFont="1" applyFill="1" applyBorder="1"/>
    <xf numFmtId="0" fontId="20" fillId="0" borderId="0" xfId="2" applyFont="1"/>
    <xf numFmtId="167" fontId="11" fillId="0" borderId="0" xfId="3" applyNumberFormat="1" applyFont="1"/>
    <xf numFmtId="0" fontId="19" fillId="0" borderId="0" xfId="2" applyFont="1" applyAlignment="1">
      <alignment horizontal="right"/>
    </xf>
    <xf numFmtId="172" fontId="19" fillId="0" borderId="0" xfId="3" applyNumberFormat="1" applyFont="1" applyFill="1"/>
    <xf numFmtId="0" fontId="3" fillId="0" borderId="0" xfId="2" applyFill="1"/>
    <xf numFmtId="0" fontId="2" fillId="0" borderId="0" xfId="2" applyFont="1" applyAlignment="1">
      <alignment horizontal="center"/>
    </xf>
    <xf numFmtId="0" fontId="23" fillId="0" borderId="0" xfId="2" applyFont="1"/>
    <xf numFmtId="0" fontId="23" fillId="0" borderId="0" xfId="2" applyFont="1" applyAlignment="1">
      <alignment wrapText="1"/>
    </xf>
    <xf numFmtId="167" fontId="3" fillId="0" borderId="0" xfId="2" applyNumberFormat="1"/>
    <xf numFmtId="170" fontId="18" fillId="3" borderId="15" xfId="1" applyNumberFormat="1" applyFont="1" applyFill="1" applyBorder="1" applyAlignment="1">
      <alignment wrapText="1"/>
    </xf>
    <xf numFmtId="170" fontId="20" fillId="3" borderId="15" xfId="1" applyNumberFormat="1" applyFont="1" applyFill="1" applyBorder="1"/>
    <xf numFmtId="0" fontId="15" fillId="0" borderId="0" xfId="0" applyFont="1"/>
    <xf numFmtId="0" fontId="25" fillId="0" borderId="0" xfId="0" quotePrefix="1" applyFont="1"/>
    <xf numFmtId="0" fontId="24" fillId="0" borderId="0" xfId="0" applyFont="1"/>
    <xf numFmtId="173" fontId="0" fillId="2" borderId="15" xfId="0" applyNumberFormat="1" applyFill="1" applyBorder="1"/>
    <xf numFmtId="43" fontId="0" fillId="0" borderId="15" xfId="1" applyFont="1" applyBorder="1"/>
    <xf numFmtId="43" fontId="0" fillId="3" borderId="15" xfId="1" applyFont="1" applyFill="1" applyBorder="1"/>
    <xf numFmtId="0" fontId="0" fillId="0" borderId="0" xfId="0" applyFont="1"/>
    <xf numFmtId="0" fontId="17" fillId="0" borderId="0" xfId="0" applyFont="1"/>
    <xf numFmtId="166" fontId="0" fillId="3" borderId="15" xfId="0" applyNumberFormat="1" applyFill="1" applyBorder="1"/>
    <xf numFmtId="174" fontId="0" fillId="0" borderId="0" xfId="0" applyNumberFormat="1"/>
    <xf numFmtId="166" fontId="1" fillId="2" borderId="15" xfId="3" applyNumberFormat="1" applyFont="1" applyFill="1" applyBorder="1" applyAlignment="1"/>
    <xf numFmtId="0" fontId="0" fillId="0" borderId="15" xfId="0" applyFill="1" applyBorder="1"/>
    <xf numFmtId="0" fontId="0" fillId="0" borderId="15" xfId="0" applyFont="1" applyBorder="1"/>
    <xf numFmtId="170" fontId="0" fillId="3" borderId="15" xfId="0" applyNumberFormat="1" applyFont="1" applyFill="1" applyBorder="1"/>
    <xf numFmtId="166" fontId="12" fillId="2" borderId="15" xfId="1" applyNumberFormat="1" applyFont="1" applyFill="1" applyBorder="1"/>
    <xf numFmtId="0" fontId="13" fillId="0" borderId="0" xfId="5" applyFont="1" applyAlignment="1" applyProtection="1"/>
    <xf numFmtId="0" fontId="26" fillId="0" borderId="0" xfId="0" applyFont="1"/>
    <xf numFmtId="0" fontId="27" fillId="0" borderId="0" xfId="2" applyFont="1"/>
    <xf numFmtId="0" fontId="0" fillId="0" borderId="15" xfId="0" applyFont="1" applyBorder="1" applyAlignment="1">
      <alignment horizontal="center"/>
    </xf>
    <xf numFmtId="0" fontId="0" fillId="0" borderId="0" xfId="0" applyFont="1" applyAlignment="1">
      <alignment horizontal="center"/>
    </xf>
    <xf numFmtId="43" fontId="0" fillId="0" borderId="0" xfId="0" applyNumberFormat="1" applyFont="1"/>
    <xf numFmtId="170" fontId="0" fillId="0" borderId="0" xfId="0" applyNumberFormat="1"/>
    <xf numFmtId="170" fontId="0" fillId="0" borderId="15" xfId="0" applyNumberFormat="1" applyBorder="1" applyAlignment="1">
      <alignment horizontal="center"/>
    </xf>
    <xf numFmtId="170" fontId="0" fillId="2" borderId="15" xfId="0" applyNumberFormat="1" applyFill="1" applyBorder="1"/>
    <xf numFmtId="170" fontId="12" fillId="2" borderId="15" xfId="1" applyNumberFormat="1" applyFont="1" applyFill="1" applyBorder="1"/>
    <xf numFmtId="0" fontId="0" fillId="0" borderId="0" xfId="0" applyFont="1" applyFill="1"/>
    <xf numFmtId="166" fontId="12" fillId="0" borderId="0" xfId="1" applyNumberFormat="1" applyFont="1" applyFill="1" applyBorder="1"/>
    <xf numFmtId="0" fontId="0" fillId="0" borderId="0" xfId="0" applyFill="1" applyBorder="1"/>
    <xf numFmtId="168" fontId="12" fillId="0" borderId="0" xfId="3" applyNumberFormat="1" applyFont="1" applyFill="1" applyBorder="1"/>
    <xf numFmtId="0" fontId="0" fillId="0" borderId="24" xfId="0" applyFont="1" applyFill="1" applyBorder="1"/>
    <xf numFmtId="170" fontId="18" fillId="0" borderId="24" xfId="1" applyNumberFormat="1" applyFont="1" applyFill="1" applyBorder="1" applyAlignment="1">
      <alignment wrapText="1"/>
    </xf>
    <xf numFmtId="170" fontId="20" fillId="0" borderId="24" xfId="1" applyNumberFormat="1" applyFont="1" applyFill="1" applyBorder="1"/>
    <xf numFmtId="0" fontId="0" fillId="0" borderId="15" xfId="0" applyBorder="1" applyAlignment="1">
      <alignment horizontal="right"/>
    </xf>
    <xf numFmtId="0" fontId="0" fillId="0" borderId="25" xfId="0" applyFont="1" applyBorder="1"/>
    <xf numFmtId="0" fontId="0" fillId="0" borderId="2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3" fontId="3" fillId="0" borderId="4" xfId="1" applyNumberFormat="1" applyFont="1" applyBorder="1"/>
    <xf numFmtId="3" fontId="0" fillId="0" borderId="5" xfId="1" applyNumberFormat="1" applyFont="1" applyBorder="1"/>
    <xf numFmtId="170" fontId="0" fillId="2" borderId="9" xfId="1" applyNumberFormat="1" applyFont="1" applyFill="1" applyBorder="1"/>
    <xf numFmtId="170" fontId="0" fillId="2" borderId="10" xfId="1" applyNumberFormat="1" applyFont="1" applyFill="1" applyBorder="1"/>
    <xf numFmtId="170" fontId="0" fillId="0" borderId="7" xfId="1" applyNumberFormat="1" applyFont="1" applyBorder="1"/>
    <xf numFmtId="170" fontId="0" fillId="0" borderId="4" xfId="1" applyNumberFormat="1" applyFont="1" applyBorder="1"/>
    <xf numFmtId="3" fontId="0" fillId="2" borderId="8" xfId="3" applyNumberFormat="1" applyFont="1" applyFill="1" applyBorder="1"/>
    <xf numFmtId="3" fontId="0" fillId="2" borderId="9" xfId="3" applyNumberFormat="1" applyFont="1" applyFill="1" applyBorder="1"/>
    <xf numFmtId="3" fontId="0" fillId="2" borderId="5" xfId="3" applyNumberFormat="1" applyFont="1" applyFill="1" applyBorder="1"/>
    <xf numFmtId="3" fontId="0" fillId="2" borderId="10" xfId="3" applyNumberFormat="1" applyFont="1" applyFill="1" applyBorder="1"/>
    <xf numFmtId="3" fontId="3" fillId="0" borderId="7" xfId="1" applyNumberFormat="1" applyFont="1" applyBorder="1"/>
    <xf numFmtId="3" fontId="0" fillId="0" borderId="8" xfId="1" applyNumberFormat="1" applyFont="1" applyBorder="1"/>
    <xf numFmtId="170" fontId="0" fillId="0" borderId="0" xfId="0" applyNumberFormat="1" applyFont="1"/>
    <xf numFmtId="170" fontId="12" fillId="4" borderId="0" xfId="1" applyNumberFormat="1" applyFont="1" applyFill="1" applyBorder="1"/>
    <xf numFmtId="0" fontId="0" fillId="0" borderId="0" xfId="0" applyFont="1" applyFill="1" applyBorder="1"/>
    <xf numFmtId="0" fontId="11" fillId="0" borderId="0" xfId="2" applyFont="1" applyFill="1" applyBorder="1"/>
    <xf numFmtId="164" fontId="11" fillId="0" borderId="0" xfId="3" applyNumberFormat="1" applyFont="1" applyFill="1" applyBorder="1"/>
    <xf numFmtId="165" fontId="11" fillId="0" borderId="0" xfId="3" applyNumberFormat="1" applyFont="1" applyFill="1" applyBorder="1"/>
    <xf numFmtId="168" fontId="0" fillId="0" borderId="0" xfId="3" applyNumberFormat="1" applyFont="1" applyFill="1" applyBorder="1"/>
    <xf numFmtId="168" fontId="0" fillId="0" borderId="0" xfId="1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70" fontId="0" fillId="0" borderId="15" xfId="0" applyNumberFormat="1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16" xfId="2" applyFont="1" applyBorder="1" applyAlignment="1">
      <alignment horizontal="right"/>
    </xf>
    <xf numFmtId="0" fontId="1" fillId="0" borderId="17" xfId="2" applyFont="1" applyBorder="1" applyAlignment="1">
      <alignment horizontal="right"/>
    </xf>
    <xf numFmtId="164" fontId="2" fillId="0" borderId="1" xfId="3" applyNumberFormat="1" applyFont="1" applyBorder="1" applyAlignment="1">
      <alignment horizontal="center"/>
    </xf>
    <xf numFmtId="164" fontId="2" fillId="0" borderId="2" xfId="3" applyNumberFormat="1" applyFont="1" applyBorder="1" applyAlignment="1">
      <alignment horizontal="center"/>
    </xf>
    <xf numFmtId="165" fontId="8" fillId="0" borderId="2" xfId="3" applyNumberFormat="1" applyFont="1" applyBorder="1" applyAlignment="1">
      <alignment horizontal="center"/>
    </xf>
    <xf numFmtId="165" fontId="8" fillId="0" borderId="12" xfId="3" applyNumberFormat="1" applyFont="1" applyBorder="1" applyAlignment="1">
      <alignment horizontal="center"/>
    </xf>
  </cellXfs>
  <cellStyles count="6">
    <cellStyle name="Comma" xfId="1" builtinId="3"/>
    <cellStyle name="Comma 2" xfId="3"/>
    <cellStyle name="Hyperlink" xfId="5" builtinId="8"/>
    <cellStyle name="Normal" xfId="0" builtinId="0"/>
    <cellStyle name="Normal 2" xfId="2"/>
    <cellStyle name="Normal 3" xfId="4"/>
  </cellStyles>
  <dxfs count="1">
    <dxf>
      <font>
        <strike val="0"/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'area &amp; perimeter'!$E$9</c:f>
              <c:strCache>
                <c:ptCount val="1"/>
                <c:pt idx="0">
                  <c:v>Y</c:v>
                </c:pt>
              </c:strCache>
            </c:strRef>
          </c:tx>
          <c:spPr>
            <a:ln w="50800">
              <a:solidFill>
                <a:srgbClr val="3211FB"/>
              </a:solidFill>
            </a:ln>
          </c:spPr>
          <c:marker>
            <c:symbol val="none"/>
          </c:marker>
          <c:xVal>
            <c:numRef>
              <c:f>'area &amp; perimeter'!$F$10:$F$29</c:f>
              <c:numCache>
                <c:formatCode>_(* #,##0_);_(* \(#,##0\);_(* "-"??_);_(@_)</c:formatCode>
                <c:ptCount val="20"/>
                <c:pt idx="0">
                  <c:v>0</c:v>
                </c:pt>
                <c:pt idx="1">
                  <c:v>-99.645535680951497</c:v>
                </c:pt>
                <c:pt idx="2">
                  <c:v>-94.110200843871908</c:v>
                </c:pt>
                <c:pt idx="3">
                  <c:v>-13.286163823910265</c:v>
                </c:pt>
                <c:pt idx="4">
                  <c:v>329.93970380627673</c:v>
                </c:pt>
                <c:pt idx="5">
                  <c:v>399.69151356598184</c:v>
                </c:pt>
                <c:pt idx="6">
                  <c:v>395.260684650651</c:v>
                </c:pt>
                <c:pt idx="7">
                  <c:v>291.18593079192999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'area &amp; perimeter'!$E$10:$E$29</c:f>
              <c:numCache>
                <c:formatCode>_(* #,##0_);_(* \(#,##0\);_(* "-"??_);_(@_)</c:formatCode>
                <c:ptCount val="20"/>
                <c:pt idx="0">
                  <c:v>0</c:v>
                </c:pt>
                <c:pt idx="1">
                  <c:v>84.636865587361498</c:v>
                </c:pt>
                <c:pt idx="2">
                  <c:v>415.38882715873143</c:v>
                </c:pt>
                <c:pt idx="3">
                  <c:v>494.45747790483608</c:v>
                </c:pt>
                <c:pt idx="4">
                  <c:v>488.88926306348031</c:v>
                </c:pt>
                <c:pt idx="5">
                  <c:v>408.70696934926269</c:v>
                </c:pt>
                <c:pt idx="6">
                  <c:v>93.5460093333527</c:v>
                </c:pt>
                <c:pt idx="7">
                  <c:v>-10.022786714301921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</c:ser>
        <c:axId val="73370624"/>
        <c:axId val="73372416"/>
      </c:scatterChart>
      <c:valAx>
        <c:axId val="73370624"/>
        <c:scaling>
          <c:orientation val="minMax"/>
        </c:scaling>
        <c:axPos val="b"/>
        <c:numFmt formatCode="#,##0" sourceLinked="0"/>
        <c:tickLblPos val="nextTo"/>
        <c:crossAx val="73372416"/>
        <c:crosses val="autoZero"/>
        <c:crossBetween val="midCat"/>
      </c:valAx>
      <c:valAx>
        <c:axId val="73372416"/>
        <c:scaling>
          <c:orientation val="minMax"/>
        </c:scaling>
        <c:axPos val="l"/>
        <c:majorGridlines/>
        <c:numFmt formatCode="#,##0" sourceLinked="0"/>
        <c:tickLblPos val="nextTo"/>
        <c:crossAx val="73370624"/>
        <c:crosses val="autoZero"/>
        <c:crossBetween val="midCat"/>
      </c:valAx>
    </c:plotArea>
    <c:plotVisOnly val="1"/>
  </c:chart>
  <c:spPr>
    <a:noFill/>
    <a:ln w="34925">
      <a:solidFill>
        <a:schemeClr val="tx2">
          <a:lumMod val="40000"/>
          <a:lumOff val="60000"/>
        </a:schemeClr>
      </a:solidFill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142876</xdr:colOff>
      <xdr:row>8</xdr:row>
      <xdr:rowOff>0</xdr:rowOff>
    </xdr:from>
    <xdr:to>
      <xdr:col>15</xdr:col>
      <xdr:colOff>19051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aruzar.blogspot.com/2013/04/find-gps-destination-by-start-point.html" TargetMode="External"/><Relationship Id="rId2" Type="http://schemas.openxmlformats.org/officeDocument/2006/relationships/hyperlink" Target="http://maruzar.blogspot.com/2013/03/kalkulasi-koordinat-gps-berdasar-data.html" TargetMode="External"/><Relationship Id="rId1" Type="http://schemas.openxmlformats.org/officeDocument/2006/relationships/hyperlink" Target="http://en.wikipedia.org/wiki/Earth_radius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en.wikipedia.org/wiki/Earth_radius" TargetMode="External"/><Relationship Id="rId2" Type="http://schemas.openxmlformats.org/officeDocument/2006/relationships/hyperlink" Target="http://maruzar.blogspot.com/2011/10/calculate-straight-distance-between-two.html" TargetMode="External"/><Relationship Id="rId1" Type="http://schemas.openxmlformats.org/officeDocument/2006/relationships/hyperlink" Target="http://maruzar.blogspot.com/2011/10/jika-anda-perlu-menghitung-jarak-garis.html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maruzar.blogspot.com/2012/12/calculating-heading-or-bearing-angleof.html" TargetMode="External"/><Relationship Id="rId4" Type="http://schemas.openxmlformats.org/officeDocument/2006/relationships/hyperlink" Target="http://maruzar.blogspot.com/2012/11/menghitung-sudut-heading-atau-bearing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maruzar.blogspot.com/2012/03/calculating-land-lot-area-with-gps.html" TargetMode="External"/><Relationship Id="rId2" Type="http://schemas.openxmlformats.org/officeDocument/2006/relationships/hyperlink" Target="http://maruzar.blogspot.com/2012/03/menghitung-luas-tanah-dengan-koordinat.html" TargetMode="External"/><Relationship Id="rId1" Type="http://schemas.openxmlformats.org/officeDocument/2006/relationships/hyperlink" Target="http://en.wikipedia.org/wiki/Earth_radiu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59"/>
  <sheetViews>
    <sheetView workbookViewId="0">
      <selection activeCell="F14" sqref="F14"/>
    </sheetView>
  </sheetViews>
  <sheetFormatPr defaultRowHeight="15"/>
  <cols>
    <col min="2" max="11" width="11" customWidth="1"/>
  </cols>
  <sheetData>
    <row r="2" spans="1:12" ht="21">
      <c r="A2" s="87" t="s">
        <v>98</v>
      </c>
    </row>
    <row r="4" spans="1:12" ht="21.75" customHeight="1">
      <c r="B4" s="138" t="s">
        <v>97</v>
      </c>
      <c r="C4" s="139"/>
      <c r="D4" s="141" t="s">
        <v>105</v>
      </c>
      <c r="E4" s="141" t="s">
        <v>102</v>
      </c>
      <c r="F4" s="143" t="s">
        <v>80</v>
      </c>
    </row>
    <row r="5" spans="1:12" ht="21.75" customHeight="1">
      <c r="B5" s="115" t="s">
        <v>36</v>
      </c>
      <c r="C5" s="115" t="s">
        <v>37</v>
      </c>
      <c r="D5" s="142"/>
      <c r="E5" s="142"/>
      <c r="F5" s="144"/>
    </row>
    <row r="6" spans="1:12">
      <c r="B6" s="93">
        <v>59.800277999999999</v>
      </c>
      <c r="C6" s="79">
        <v>30.262499999999999</v>
      </c>
      <c r="D6" s="88">
        <v>0.14667508571866089</v>
      </c>
      <c r="E6" s="85">
        <v>6570.678788489432</v>
      </c>
      <c r="F6" s="84">
        <v>6378.14</v>
      </c>
      <c r="G6" s="44" t="s">
        <v>38</v>
      </c>
    </row>
    <row r="7" spans="1:12" hidden="1">
      <c r="B7" s="101">
        <f>RADIANS(B6)</f>
        <v>1.0437117447079296</v>
      </c>
      <c r="C7" s="101">
        <f t="shared" ref="C7" si="0">RADIANS(C6)</f>
        <v>0.52818026488478398</v>
      </c>
      <c r="D7">
        <f>IF(D6=0,RADIANS(360),RADIANS(D6))</f>
        <v>2.559963176435546E-3</v>
      </c>
    </row>
    <row r="8" spans="1:12">
      <c r="B8" s="101"/>
      <c r="C8" s="101"/>
    </row>
    <row r="9" spans="1:12" hidden="1">
      <c r="B9" s="101">
        <f>COS($B$18)*COS($C$19)</f>
        <v>-0.48214368446364603</v>
      </c>
      <c r="C9" s="101">
        <f>COS($B$18)*SIN($C$19)</f>
        <v>2.1948982459114976E-3</v>
      </c>
      <c r="F9" s="82"/>
    </row>
    <row r="10" spans="1:12" hidden="1">
      <c r="B10" s="101">
        <f>ATAN2(((COS($B$7)+$B$9)^2+($C$9)^2)^(1/2),SIN($B$7)+SIN($B$18))</f>
        <v>1.5587378669019518</v>
      </c>
      <c r="C10" s="101">
        <f>$C$7+ATAN2(COS($B$7)+$B$9,$C$9)</f>
        <v>0.63295477247040244</v>
      </c>
    </row>
    <row r="11" spans="1:12">
      <c r="B11" s="140" t="s">
        <v>76</v>
      </c>
      <c r="C11" s="140"/>
      <c r="D11" s="140"/>
    </row>
    <row r="12" spans="1:12">
      <c r="B12" s="102" t="s">
        <v>36</v>
      </c>
      <c r="C12" s="102" t="s">
        <v>37</v>
      </c>
      <c r="D12" s="116" t="s">
        <v>106</v>
      </c>
      <c r="F12" s="137"/>
      <c r="G12" s="137"/>
      <c r="H12" s="137"/>
      <c r="I12" s="107"/>
      <c r="J12" s="137"/>
      <c r="K12" s="137"/>
      <c r="L12" s="137"/>
    </row>
    <row r="13" spans="1:12">
      <c r="B13" s="103">
        <f>DEGREES(B10)</f>
        <v>89.309101140706488</v>
      </c>
      <c r="C13" s="103">
        <f>IF(DEGREES(C10)&gt;180, DEGREES(C10)-360, DEGREES(C10))</f>
        <v>36.265637085217364</v>
      </c>
      <c r="D13" s="83">
        <f>MOD(DEGREES(MOD(ATAN2((COS(B26)*SIN(B27))-(SIN(B26)*COS(B27)*COS(C28)), SIN(C28)*COS(B27)),2*PI())),360)</f>
        <v>6.1303473912413793</v>
      </c>
      <c r="F13" s="135"/>
      <c r="G13" s="135"/>
      <c r="H13" s="136"/>
      <c r="I13" s="107"/>
      <c r="J13" s="135"/>
      <c r="K13" s="135"/>
      <c r="L13" s="136"/>
    </row>
    <row r="14" spans="1:12">
      <c r="B14" s="101"/>
      <c r="C14" s="101"/>
      <c r="F14" s="107"/>
      <c r="G14" s="107"/>
      <c r="H14" s="107"/>
      <c r="I14" s="107"/>
      <c r="J14" s="107"/>
      <c r="K14" s="107"/>
      <c r="L14" s="107"/>
    </row>
    <row r="15" spans="1:12">
      <c r="B15" s="140" t="s">
        <v>75</v>
      </c>
      <c r="C15" s="140"/>
      <c r="D15" s="145" t="s">
        <v>90</v>
      </c>
      <c r="F15" s="137"/>
      <c r="G15" s="137"/>
      <c r="H15" s="137"/>
      <c r="I15" s="107"/>
      <c r="J15" s="137"/>
      <c r="K15" s="137"/>
      <c r="L15" s="137"/>
    </row>
    <row r="16" spans="1:12">
      <c r="B16" s="102" t="s">
        <v>36</v>
      </c>
      <c r="C16" s="102" t="s">
        <v>37</v>
      </c>
      <c r="D16" s="146"/>
      <c r="F16" s="132"/>
      <c r="G16" s="133"/>
      <c r="H16" s="134"/>
      <c r="I16" s="131"/>
      <c r="J16" s="132"/>
      <c r="K16" s="133"/>
      <c r="L16" s="134"/>
    </row>
    <row r="17" spans="2:12">
      <c r="B17" s="103">
        <f>DEGREES(B18)</f>
        <v>61.174169999999997</v>
      </c>
      <c r="C17" s="103">
        <f>IF(DEGREES(C18)&gt;180, DEGREES(C18)-360, DEGREES(C18))</f>
        <v>-149.99833000000001</v>
      </c>
      <c r="D17" s="83">
        <f>MOD(DEGREES(MOD(ATAN2((COS(B22)*SIN(B23))-(SIN(B22)*COS(B22)*COS(C24)),SIN(C24)*COS(B23)),2*PI()))+180,360)</f>
        <v>179.84364308974466</v>
      </c>
      <c r="F17" s="135"/>
      <c r="G17" s="135"/>
      <c r="H17" s="136"/>
      <c r="I17" s="107"/>
      <c r="J17" s="135"/>
      <c r="K17" s="135"/>
      <c r="L17" s="136"/>
    </row>
    <row r="18" spans="2:12" hidden="1">
      <c r="B18" s="101">
        <f>ASIN(SIN($B$7)*COS($E$6/$F$6)+COS($B$7)*SIN($E$6/$F$6)*COS($D$7))</f>
        <v>1.0676906836747395</v>
      </c>
      <c r="C18" s="101">
        <f>$C$7+ATAN2(COS(E6/$F$6)-SIN($B$7)*SIN($B$18), SIN($D$7)*SIN(E6/$F$6)*COS($B$7))</f>
        <v>3.6652205761866004</v>
      </c>
    </row>
    <row r="19" spans="2:12" hidden="1">
      <c r="B19" s="101"/>
      <c r="C19" s="101">
        <f>C18-C7</f>
        <v>3.1370403113018162</v>
      </c>
      <c r="G19" s="89"/>
    </row>
    <row r="20" spans="2:12" hidden="1"/>
    <row r="21" spans="2:12" hidden="1"/>
    <row r="22" spans="2:12" hidden="1">
      <c r="B22" s="101">
        <f>B18</f>
        <v>1.0676906836747395</v>
      </c>
      <c r="C22" s="101">
        <f>C18</f>
        <v>3.6652205761866004</v>
      </c>
    </row>
    <row r="23" spans="2:12" hidden="1">
      <c r="B23" s="101">
        <f>B7</f>
        <v>1.0437117447079296</v>
      </c>
      <c r="C23" s="101">
        <f>C7</f>
        <v>0.52818026488478398</v>
      </c>
    </row>
    <row r="24" spans="2:12" hidden="1">
      <c r="B24" s="101">
        <f>B23-B22</f>
        <v>-2.3978938966809915E-2</v>
      </c>
      <c r="C24">
        <f t="shared" ref="C24" si="1">C23-C22</f>
        <v>-3.1370403113018162</v>
      </c>
    </row>
    <row r="25" spans="2:12" hidden="1"/>
    <row r="26" spans="2:12" hidden="1">
      <c r="B26" s="101">
        <f>B10</f>
        <v>1.5587378669019518</v>
      </c>
      <c r="C26" s="101">
        <f>C10</f>
        <v>0.63295477247040244</v>
      </c>
    </row>
    <row r="27" spans="2:12" hidden="1">
      <c r="B27" s="101">
        <f>B18</f>
        <v>1.0676906836747395</v>
      </c>
      <c r="C27" s="101">
        <f>C18</f>
        <v>3.6652205761866004</v>
      </c>
    </row>
    <row r="28" spans="2:12" hidden="1">
      <c r="B28" s="101">
        <f>B27-B26</f>
        <v>-0.4910471832272123</v>
      </c>
      <c r="C28" s="101">
        <f>C27-C26</f>
        <v>3.0322658037161978</v>
      </c>
    </row>
    <row r="29" spans="2:12" hidden="1"/>
    <row r="30" spans="2:12" hidden="1"/>
    <row r="31" spans="2:12" hidden="1"/>
    <row r="32" spans="2:12" hidden="1"/>
    <row r="33" spans="1:8" hidden="1"/>
    <row r="36" spans="1:8" s="20" customFormat="1">
      <c r="A36" s="20" t="s">
        <v>2</v>
      </c>
      <c r="C36" s="27"/>
      <c r="D36" s="28"/>
      <c r="G36" s="20" t="s">
        <v>20</v>
      </c>
      <c r="H36" s="36"/>
    </row>
    <row r="37" spans="1:8" s="20" customFormat="1">
      <c r="A37" s="20" t="s">
        <v>4</v>
      </c>
      <c r="C37" s="27"/>
      <c r="D37" s="28"/>
      <c r="G37" s="20" t="s">
        <v>21</v>
      </c>
      <c r="H37" s="36"/>
    </row>
    <row r="38" spans="1:8" s="20" customFormat="1">
      <c r="A38" s="20" t="s">
        <v>6</v>
      </c>
      <c r="C38" s="27"/>
      <c r="D38" s="28"/>
      <c r="G38" s="20" t="s">
        <v>24</v>
      </c>
      <c r="H38" s="36"/>
    </row>
    <row r="39" spans="1:8" s="20" customFormat="1">
      <c r="C39" s="27"/>
      <c r="D39" s="28"/>
      <c r="H39" s="36"/>
    </row>
    <row r="40" spans="1:8" s="20" customFormat="1">
      <c r="A40" s="20" t="s">
        <v>14</v>
      </c>
      <c r="C40" s="27"/>
      <c r="D40" s="28"/>
      <c r="G40" s="20" t="s">
        <v>26</v>
      </c>
      <c r="H40" s="36"/>
    </row>
    <row r="41" spans="1:8" s="20" customFormat="1">
      <c r="A41" s="20" t="s">
        <v>16</v>
      </c>
      <c r="C41" s="27"/>
      <c r="D41" s="28"/>
      <c r="G41" s="20" t="s">
        <v>27</v>
      </c>
      <c r="H41" s="36"/>
    </row>
    <row r="42" spans="1:8" s="20" customFormat="1">
      <c r="C42" s="27"/>
      <c r="D42" s="28"/>
      <c r="H42" s="36"/>
    </row>
    <row r="43" spans="1:8" s="20" customFormat="1">
      <c r="A43" s="20" t="s">
        <v>78</v>
      </c>
      <c r="C43" s="27"/>
      <c r="D43" s="28"/>
      <c r="G43" s="20" t="s">
        <v>79</v>
      </c>
      <c r="H43" s="36"/>
    </row>
    <row r="44" spans="1:8" s="20" customFormat="1">
      <c r="A44" s="20" t="s">
        <v>7</v>
      </c>
      <c r="C44" s="27"/>
      <c r="D44" s="28"/>
      <c r="G44" s="20" t="s">
        <v>25</v>
      </c>
      <c r="H44" s="36"/>
    </row>
    <row r="45" spans="1:8" s="20" customFormat="1">
      <c r="C45" s="27"/>
      <c r="D45" s="28"/>
      <c r="H45" s="36"/>
    </row>
    <row r="46" spans="1:8" s="20" customFormat="1">
      <c r="A46" s="20" t="s">
        <v>86</v>
      </c>
      <c r="C46" s="27"/>
      <c r="D46" s="28"/>
      <c r="G46" s="20" t="s">
        <v>87</v>
      </c>
      <c r="H46" s="36"/>
    </row>
    <row r="47" spans="1:8" s="20" customFormat="1">
      <c r="A47" s="20" t="s">
        <v>85</v>
      </c>
      <c r="C47" s="27"/>
      <c r="D47" s="28"/>
      <c r="G47" s="20" t="s">
        <v>84</v>
      </c>
      <c r="H47" s="36"/>
    </row>
    <row r="48" spans="1:8" s="20" customFormat="1">
      <c r="A48" s="20" t="s">
        <v>108</v>
      </c>
      <c r="C48" s="27"/>
      <c r="D48" s="28"/>
      <c r="G48" s="20" t="s">
        <v>107</v>
      </c>
      <c r="H48" s="36"/>
    </row>
    <row r="49" spans="1:8" s="20" customFormat="1">
      <c r="C49" s="27"/>
      <c r="D49" s="28"/>
      <c r="H49" s="36"/>
    </row>
    <row r="50" spans="1:8" s="20" customFormat="1">
      <c r="A50" s="20" t="s">
        <v>99</v>
      </c>
      <c r="C50" s="27"/>
      <c r="D50" s="28"/>
      <c r="G50" s="20" t="s">
        <v>100</v>
      </c>
      <c r="H50" s="36"/>
    </row>
    <row r="51" spans="1:8" s="20" customFormat="1">
      <c r="A51" s="37"/>
      <c r="C51" s="42"/>
      <c r="G51" s="37"/>
    </row>
    <row r="52" spans="1:8" s="20" customFormat="1">
      <c r="A52" s="86" t="s">
        <v>123</v>
      </c>
      <c r="B52" s="86"/>
      <c r="C52" s="86"/>
      <c r="D52" s="86"/>
      <c r="E52" s="86"/>
      <c r="F52" s="86"/>
      <c r="G52" s="86" t="s">
        <v>124</v>
      </c>
    </row>
    <row r="53" spans="1:8" s="20" customFormat="1">
      <c r="A53" t="s">
        <v>121</v>
      </c>
      <c r="B53" s="86"/>
      <c r="C53" s="86"/>
      <c r="D53" s="86"/>
      <c r="E53" s="86"/>
      <c r="F53" s="86"/>
      <c r="G53" s="86" t="s">
        <v>122</v>
      </c>
    </row>
    <row r="54" spans="1:8" s="20" customFormat="1">
      <c r="C54" s="27"/>
      <c r="D54" s="28"/>
      <c r="H54" s="36"/>
    </row>
    <row r="55" spans="1:8" s="20" customFormat="1">
      <c r="A55" s="20" t="s">
        <v>39</v>
      </c>
      <c r="C55" s="27"/>
      <c r="D55" s="28"/>
      <c r="G55" s="20" t="s">
        <v>40</v>
      </c>
      <c r="H55" s="36"/>
    </row>
    <row r="56" spans="1:8" s="20" customFormat="1">
      <c r="A56" s="37" t="s">
        <v>96</v>
      </c>
      <c r="C56" s="42"/>
      <c r="G56" s="37" t="s">
        <v>95</v>
      </c>
    </row>
    <row r="57" spans="1:8" s="20" customFormat="1">
      <c r="C57" s="42"/>
    </row>
    <row r="58" spans="1:8" s="20" customFormat="1">
      <c r="C58" s="42"/>
    </row>
    <row r="59" spans="1:8" s="20" customFormat="1">
      <c r="C59" s="42"/>
    </row>
  </sheetData>
  <mergeCells count="11">
    <mergeCell ref="F12:H12"/>
    <mergeCell ref="J12:L12"/>
    <mergeCell ref="B4:C4"/>
    <mergeCell ref="B15:C15"/>
    <mergeCell ref="F15:H15"/>
    <mergeCell ref="J15:L15"/>
    <mergeCell ref="D4:D5"/>
    <mergeCell ref="E4:E5"/>
    <mergeCell ref="F4:F5"/>
    <mergeCell ref="D15:D16"/>
    <mergeCell ref="B11:D11"/>
  </mergeCells>
  <hyperlinks>
    <hyperlink ref="G6" r:id="rId1"/>
    <hyperlink ref="G56" r:id="rId2"/>
    <hyperlink ref="A56" r:id="rId3"/>
  </hyperlinks>
  <pageMargins left="0.7" right="0.7" top="0.75" bottom="0.75" header="0.3" footer="0.3"/>
  <pageSetup paperSize="9" orientation="portrait" horizontalDpi="300" verticalDpi="300"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2:M50"/>
  <sheetViews>
    <sheetView tabSelected="1" workbookViewId="0">
      <selection activeCell="H4" sqref="H4:J4"/>
    </sheetView>
  </sheetViews>
  <sheetFormatPr defaultRowHeight="15"/>
  <cols>
    <col min="1" max="1" width="18.7109375" style="86" customWidth="1"/>
    <col min="2" max="4" width="11.42578125" style="86" customWidth="1"/>
    <col min="5" max="6" width="11.5703125" style="86" customWidth="1"/>
    <col min="7" max="12" width="11.42578125" style="86" customWidth="1"/>
    <col min="13" max="16384" width="9.140625" style="86"/>
  </cols>
  <sheetData>
    <row r="2" spans="1:11" ht="21">
      <c r="A2" s="87" t="s">
        <v>88</v>
      </c>
    </row>
    <row r="3" spans="1:11" ht="21">
      <c r="A3" s="87"/>
      <c r="H3" s="131"/>
      <c r="I3" s="131"/>
      <c r="J3" s="131"/>
    </row>
    <row r="4" spans="1:11">
      <c r="E4" s="113"/>
      <c r="F4" s="114"/>
      <c r="H4" s="137"/>
      <c r="I4" s="137"/>
      <c r="J4" s="137"/>
    </row>
    <row r="5" spans="1:11">
      <c r="B5" s="98" t="s">
        <v>77</v>
      </c>
      <c r="C5" s="98" t="s">
        <v>37</v>
      </c>
      <c r="D5" s="99"/>
      <c r="E5" s="147" t="s">
        <v>109</v>
      </c>
      <c r="F5" s="148"/>
      <c r="H5" s="132"/>
      <c r="I5" s="133"/>
      <c r="J5" s="134"/>
    </row>
    <row r="6" spans="1:11">
      <c r="A6" s="92" t="s">
        <v>81</v>
      </c>
      <c r="B6" s="93">
        <v>59.800277999999999</v>
      </c>
      <c r="C6" s="79">
        <v>30.262499999999999</v>
      </c>
      <c r="E6" s="94">
        <f>DEGREES(MOD(ATAN2((COS(B14)*SIN(B15))-(SIN(B14)*COS(B15)*COS(C16)),SIN(C16)*COS(B15)),2*PI()))</f>
        <v>0.14667508571866089</v>
      </c>
      <c r="F6" s="112" t="s">
        <v>103</v>
      </c>
      <c r="H6" s="108"/>
      <c r="I6" s="108"/>
      <c r="J6" s="108"/>
    </row>
    <row r="7" spans="1:11">
      <c r="A7" s="92" t="s">
        <v>82</v>
      </c>
      <c r="B7" s="78">
        <v>61.174169999999997</v>
      </c>
      <c r="C7" s="79">
        <v>-149.99833000000001</v>
      </c>
      <c r="E7" s="94">
        <f>IF(DEGREES(D18)+180&gt;360,(( (DEGREES(D18)+180)/360)-1)*360,DEGREES( D18)+180)</f>
        <v>179.84364308974475</v>
      </c>
      <c r="F7" s="112" t="s">
        <v>104</v>
      </c>
      <c r="H7" s="108"/>
      <c r="I7" s="108"/>
      <c r="J7" s="108"/>
    </row>
    <row r="8" spans="1:11">
      <c r="A8" s="109"/>
      <c r="B8" s="110"/>
      <c r="C8" s="111"/>
      <c r="D8" s="105"/>
      <c r="E8" s="106"/>
      <c r="F8" s="107"/>
      <c r="G8" s="105"/>
      <c r="H8" s="108"/>
      <c r="I8" s="108"/>
      <c r="J8" s="108"/>
      <c r="K8" s="105"/>
    </row>
    <row r="9" spans="1:11">
      <c r="A9" s="91" t="s">
        <v>101</v>
      </c>
      <c r="B9" s="104">
        <f>DEGREES(ATAN2((((COS(B14)+B22)^2+(B23)^2)^(1/2)),SIN(B14)+SIN(B15)))</f>
        <v>89.309101140706488</v>
      </c>
      <c r="C9" s="104">
        <f>IF(C22&gt;180,C22-360,C22)</f>
        <v>36.265637085217051</v>
      </c>
      <c r="E9" s="94">
        <f>MOD(DEGREES(MOD(ATAN2((COS(B25)*SIN(B15))-(SIN(B25)*COS(B15)*COS(C26)),SIN(C26)*COS(B15)),2*PI())),360)</f>
        <v>6.1303473912410658</v>
      </c>
      <c r="F9" s="112" t="s">
        <v>110</v>
      </c>
      <c r="H9" s="108"/>
      <c r="I9" s="108"/>
      <c r="J9" s="108"/>
    </row>
    <row r="10" spans="1:11">
      <c r="C10" s="129"/>
      <c r="E10" s="81"/>
      <c r="H10" s="108"/>
      <c r="I10" s="108"/>
      <c r="J10" s="108"/>
    </row>
    <row r="11" spans="1:11">
      <c r="A11" s="41" t="s">
        <v>83</v>
      </c>
      <c r="B11" s="90">
        <f>ACOS(SIN(B14)*SIN(B15)+COS(B14)*COS(B15)*COS(C15-C14))*E11</f>
        <v>6570.678788489432</v>
      </c>
      <c r="C11" s="149" t="s">
        <v>89</v>
      </c>
      <c r="D11" s="150"/>
      <c r="E11" s="84">
        <v>6378.14</v>
      </c>
      <c r="F11" s="95" t="s">
        <v>38</v>
      </c>
    </row>
    <row r="13" spans="1:11" hidden="1"/>
    <row r="14" spans="1:11" hidden="1">
      <c r="B14" s="86">
        <f>RADIANS(B6)</f>
        <v>1.0437117447079296</v>
      </c>
      <c r="C14" s="86">
        <f t="shared" ref="C14" si="0">RADIANS(C6)</f>
        <v>0.52818026488478398</v>
      </c>
      <c r="J14" s="96"/>
    </row>
    <row r="15" spans="1:11" hidden="1">
      <c r="B15" s="86">
        <f>RADIANS(B7)</f>
        <v>1.0676906836747395</v>
      </c>
      <c r="C15" s="86">
        <f>RADIANS(C7)</f>
        <v>-2.6179647309929863</v>
      </c>
    </row>
    <row r="16" spans="1:11" hidden="1">
      <c r="B16" s="86">
        <f>B15-B14</f>
        <v>2.3978938966809915E-2</v>
      </c>
      <c r="C16" s="86">
        <f>C15-C14</f>
        <v>-3.1461449958777701</v>
      </c>
    </row>
    <row r="17" spans="1:13" hidden="1">
      <c r="G17" s="100"/>
    </row>
    <row r="18" spans="1:13" hidden="1">
      <c r="B18" s="86">
        <f>B15</f>
        <v>1.0676906836747395</v>
      </c>
      <c r="C18" s="86">
        <f>C15</f>
        <v>-2.6179647309929863</v>
      </c>
      <c r="D18" s="86">
        <f>MOD(ATAN2((COS(B18)*SIN(B19))-(SIN(B18)*COS(B18)*COS(C20)),SIN(C20)*COS(B19)),2*PI())</f>
        <v>6.2804563642873861</v>
      </c>
      <c r="J18" s="96"/>
    </row>
    <row r="19" spans="1:13" s="20" customFormat="1" hidden="1">
      <c r="B19" s="20">
        <f>B14</f>
        <v>1.0437117447079296</v>
      </c>
      <c r="C19" s="20">
        <f>C14</f>
        <v>0.52818026488478398</v>
      </c>
      <c r="F19" s="36"/>
      <c r="L19" s="39"/>
      <c r="M19" s="40"/>
    </row>
    <row r="20" spans="1:13" s="20" customFormat="1" hidden="1">
      <c r="B20" s="86">
        <f>B19-B18</f>
        <v>-2.3978938966809915E-2</v>
      </c>
      <c r="C20" s="86">
        <f>C19-C18</f>
        <v>3.1461449958777701</v>
      </c>
      <c r="F20" s="36"/>
      <c r="L20" s="39"/>
      <c r="M20" s="40"/>
    </row>
    <row r="21" spans="1:13" s="97" customFormat="1" hidden="1">
      <c r="A21" s="20"/>
      <c r="B21" s="20"/>
      <c r="C21" s="20"/>
      <c r="L21" s="80"/>
    </row>
    <row r="22" spans="1:13" hidden="1">
      <c r="B22" s="86">
        <f>COS(B15)*COS(C16)</f>
        <v>-0.48214368446364603</v>
      </c>
      <c r="C22" s="130">
        <f>DEGREES(C14+ATAN2( COS(B14)+B22, B23))</f>
        <v>36.265637085217051</v>
      </c>
      <c r="D22" s="81"/>
      <c r="E22" s="129"/>
    </row>
    <row r="23" spans="1:13" hidden="1">
      <c r="B23" s="86">
        <f>COS(B15)*SIN(C16)</f>
        <v>2.1948982459113796E-3</v>
      </c>
    </row>
    <row r="24" spans="1:13" hidden="1"/>
    <row r="25" spans="1:13" hidden="1">
      <c r="B25" s="86">
        <f>RADIANS(B9)</f>
        <v>1.5587378669019518</v>
      </c>
      <c r="C25" s="86">
        <f>RADIANS(C22)</f>
        <v>0.63295477247039689</v>
      </c>
    </row>
    <row r="26" spans="1:13" hidden="1">
      <c r="B26" s="86">
        <f>B15-B25</f>
        <v>-0.4910471832272123</v>
      </c>
      <c r="C26" s="86">
        <f t="shared" ref="C26" si="1">C15-C25</f>
        <v>-3.2509195034633831</v>
      </c>
    </row>
    <row r="28" spans="1:13" s="20" customFormat="1">
      <c r="A28" s="20" t="s">
        <v>2</v>
      </c>
      <c r="C28" s="27"/>
      <c r="D28" s="28"/>
      <c r="G28" s="20" t="s">
        <v>20</v>
      </c>
      <c r="H28" s="36"/>
    </row>
    <row r="29" spans="1:13" s="20" customFormat="1">
      <c r="A29" s="20" t="s">
        <v>4</v>
      </c>
      <c r="C29" s="27"/>
      <c r="D29" s="28"/>
      <c r="G29" s="20" t="s">
        <v>21</v>
      </c>
      <c r="H29" s="36"/>
    </row>
    <row r="30" spans="1:13" s="20" customFormat="1">
      <c r="A30" s="20" t="s">
        <v>6</v>
      </c>
      <c r="C30" s="27"/>
      <c r="D30" s="28"/>
      <c r="G30" s="20" t="s">
        <v>24</v>
      </c>
      <c r="H30" s="36"/>
    </row>
    <row r="31" spans="1:13" s="20" customFormat="1">
      <c r="C31" s="27"/>
      <c r="D31" s="28"/>
      <c r="H31" s="36"/>
    </row>
    <row r="32" spans="1:13" s="20" customFormat="1">
      <c r="A32" s="20" t="s">
        <v>14</v>
      </c>
      <c r="C32" s="27"/>
      <c r="D32" s="28"/>
      <c r="G32" s="20" t="s">
        <v>26</v>
      </c>
      <c r="H32" s="36"/>
    </row>
    <row r="33" spans="1:8" s="20" customFormat="1">
      <c r="A33" s="20" t="s">
        <v>16</v>
      </c>
      <c r="C33" s="27"/>
      <c r="D33" s="28"/>
      <c r="G33" s="20" t="s">
        <v>27</v>
      </c>
      <c r="H33" s="36"/>
    </row>
    <row r="34" spans="1:8" s="20" customFormat="1">
      <c r="C34" s="27"/>
      <c r="D34" s="28"/>
      <c r="H34" s="36"/>
    </row>
    <row r="35" spans="1:8" s="20" customFormat="1">
      <c r="A35" s="20" t="s">
        <v>78</v>
      </c>
      <c r="C35" s="27"/>
      <c r="D35" s="28"/>
      <c r="G35" s="20" t="s">
        <v>79</v>
      </c>
      <c r="H35" s="36"/>
    </row>
    <row r="36" spans="1:8" s="20" customFormat="1">
      <c r="A36" s="20" t="s">
        <v>7</v>
      </c>
      <c r="C36" s="27"/>
      <c r="D36" s="28"/>
      <c r="G36" s="20" t="s">
        <v>25</v>
      </c>
      <c r="H36" s="36"/>
    </row>
    <row r="37" spans="1:8" s="20" customFormat="1">
      <c r="C37" s="27"/>
      <c r="D37" s="28"/>
      <c r="H37" s="36"/>
    </row>
    <row r="38" spans="1:8" s="20" customFormat="1">
      <c r="A38" s="20" t="s">
        <v>86</v>
      </c>
      <c r="C38" s="27"/>
      <c r="D38" s="28"/>
      <c r="G38" s="20" t="s">
        <v>87</v>
      </c>
      <c r="H38" s="36"/>
    </row>
    <row r="39" spans="1:8" s="20" customFormat="1">
      <c r="A39" s="20" t="s">
        <v>85</v>
      </c>
      <c r="C39" s="27"/>
      <c r="D39" s="28"/>
      <c r="G39" s="20" t="s">
        <v>84</v>
      </c>
      <c r="H39" s="36"/>
    </row>
    <row r="40" spans="1:8" s="20" customFormat="1">
      <c r="A40" s="20" t="s">
        <v>108</v>
      </c>
      <c r="C40" s="27"/>
      <c r="D40" s="28"/>
      <c r="G40" s="20" t="s">
        <v>107</v>
      </c>
      <c r="H40" s="36"/>
    </row>
    <row r="41" spans="1:8" s="20" customFormat="1">
      <c r="C41" s="27"/>
      <c r="D41" s="28"/>
      <c r="H41" s="36"/>
    </row>
    <row r="42" spans="1:8" s="20" customFormat="1">
      <c r="A42" s="20" t="s">
        <v>99</v>
      </c>
      <c r="C42" s="27"/>
      <c r="D42" s="28"/>
      <c r="G42" s="20" t="s">
        <v>111</v>
      </c>
      <c r="H42" s="36"/>
    </row>
    <row r="43" spans="1:8" s="20" customFormat="1">
      <c r="A43" s="37"/>
      <c r="C43" s="42"/>
      <c r="G43" s="37"/>
    </row>
    <row r="44" spans="1:8">
      <c r="A44" s="86" t="s">
        <v>123</v>
      </c>
      <c r="G44" s="86" t="s">
        <v>124</v>
      </c>
    </row>
    <row r="45" spans="1:8">
      <c r="A45" t="s">
        <v>121</v>
      </c>
      <c r="G45" s="86" t="s">
        <v>122</v>
      </c>
    </row>
    <row r="46" spans="1:8" s="20" customFormat="1">
      <c r="C46" s="27"/>
      <c r="D46" s="28"/>
      <c r="H46" s="36"/>
    </row>
    <row r="47" spans="1:8" s="20" customFormat="1">
      <c r="A47" s="20" t="s">
        <v>39</v>
      </c>
      <c r="C47" s="27"/>
      <c r="D47" s="28"/>
      <c r="G47" s="20" t="s">
        <v>40</v>
      </c>
      <c r="H47" s="36"/>
    </row>
    <row r="48" spans="1:8" s="20" customFormat="1">
      <c r="A48" s="37" t="s">
        <v>41</v>
      </c>
      <c r="C48" s="42"/>
      <c r="G48" s="37" t="s">
        <v>42</v>
      </c>
    </row>
    <row r="49" spans="1:7" s="20" customFormat="1">
      <c r="A49" s="37"/>
      <c r="C49" s="42"/>
      <c r="G49" s="37"/>
    </row>
    <row r="50" spans="1:7" s="20" customFormat="1">
      <c r="A50" s="37" t="s">
        <v>94</v>
      </c>
      <c r="C50" s="42"/>
      <c r="G50" s="37" t="s">
        <v>93</v>
      </c>
    </row>
  </sheetData>
  <mergeCells count="3">
    <mergeCell ref="E5:F5"/>
    <mergeCell ref="H4:J4"/>
    <mergeCell ref="C11:D11"/>
  </mergeCells>
  <hyperlinks>
    <hyperlink ref="G48" r:id="rId1"/>
    <hyperlink ref="A48" r:id="rId2"/>
    <hyperlink ref="F11" r:id="rId3"/>
    <hyperlink ref="G50" r:id="rId4"/>
    <hyperlink ref="A50" r:id="rId5"/>
  </hyperlinks>
  <pageMargins left="0.7" right="0.7" top="0.75" bottom="0.75" header="0.3" footer="0.3"/>
  <pageSetup paperSize="9" orientation="portrait" horizontalDpi="300" verticalDpi="300" r:id="rId6"/>
</worksheet>
</file>

<file path=xl/worksheets/sheet3.xml><?xml version="1.0" encoding="utf-8"?>
<worksheet xmlns="http://schemas.openxmlformats.org/spreadsheetml/2006/main" xmlns:r="http://schemas.openxmlformats.org/officeDocument/2006/relationships">
  <dimension ref="A1:W55"/>
  <sheetViews>
    <sheetView workbookViewId="0">
      <selection activeCell="A52" sqref="A52"/>
    </sheetView>
  </sheetViews>
  <sheetFormatPr defaultRowHeight="15"/>
  <cols>
    <col min="1" max="1" width="9.140625" style="20"/>
    <col min="2" max="2" width="11.42578125" style="42" customWidth="1"/>
    <col min="3" max="3" width="11.42578125" style="20" customWidth="1"/>
    <col min="4" max="4" width="11.42578125" style="42" hidden="1" customWidth="1"/>
    <col min="5" max="6" width="14.42578125" style="20" customWidth="1"/>
    <col min="7" max="7" width="18.28515625" style="20" customWidth="1"/>
    <col min="8" max="8" width="15.5703125" style="20" customWidth="1"/>
    <col min="9" max="9" width="13.42578125" style="20" customWidth="1"/>
    <col min="10" max="11" width="9.140625" style="20"/>
    <col min="12" max="13" width="9.28515625" style="20" bestFit="1" customWidth="1"/>
    <col min="14" max="14" width="9.5703125" style="20" bestFit="1" customWidth="1"/>
    <col min="15" max="16" width="9.140625" style="20"/>
    <col min="17" max="17" width="9.28515625" style="20" bestFit="1" customWidth="1"/>
    <col min="18" max="18" width="11.5703125" style="20" bestFit="1" customWidth="1"/>
    <col min="19" max="19" width="9.140625" style="20"/>
    <col min="20" max="20" width="9.28515625" style="20" bestFit="1" customWidth="1"/>
    <col min="21" max="21" width="11.5703125" style="20" bestFit="1" customWidth="1"/>
    <col min="22" max="22" width="9.140625" style="20"/>
    <col min="23" max="23" width="9.28515625" style="20" bestFit="1" customWidth="1"/>
    <col min="24" max="24" width="11.5703125" style="20" bestFit="1" customWidth="1"/>
    <col min="25" max="25" width="8.42578125" style="20" bestFit="1" customWidth="1"/>
    <col min="26" max="26" width="10.7109375" style="20" bestFit="1" customWidth="1"/>
    <col min="27" max="27" width="10.5703125" style="20" bestFit="1" customWidth="1"/>
    <col min="28" max="16384" width="9.140625" style="20"/>
  </cols>
  <sheetData>
    <row r="1" spans="1:18" ht="21">
      <c r="A1" s="43" t="s">
        <v>43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2" spans="1:18">
      <c r="B2" s="20"/>
      <c r="C2" s="42"/>
      <c r="D2" s="20"/>
    </row>
    <row r="3" spans="1:18">
      <c r="E3" s="5" t="s">
        <v>44</v>
      </c>
    </row>
    <row r="4" spans="1:18">
      <c r="E4" s="44" t="s">
        <v>38</v>
      </c>
    </row>
    <row r="5" spans="1:18">
      <c r="E5" s="45" t="s">
        <v>45</v>
      </c>
      <c r="F5" s="46">
        <v>6378137</v>
      </c>
      <c r="G5" s="47" t="s">
        <v>46</v>
      </c>
    </row>
    <row r="6" spans="1:18">
      <c r="E6" s="48" t="s">
        <v>47</v>
      </c>
      <c r="F6" s="49">
        <f>F5*2</f>
        <v>12756274</v>
      </c>
      <c r="G6" s="47" t="s">
        <v>46</v>
      </c>
      <c r="H6" s="50"/>
    </row>
    <row r="7" spans="1:18">
      <c r="E7" s="51" t="s">
        <v>48</v>
      </c>
      <c r="F7" s="52">
        <f>F6*22/7</f>
        <v>40091146.857142858</v>
      </c>
      <c r="G7" s="47" t="s">
        <v>46</v>
      </c>
      <c r="H7" s="38"/>
    </row>
    <row r="8" spans="1:18">
      <c r="B8" s="20"/>
      <c r="D8" s="20"/>
      <c r="E8" s="42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>
      <c r="B9" s="35" t="s">
        <v>36</v>
      </c>
      <c r="C9" s="35" t="s">
        <v>37</v>
      </c>
      <c r="D9" s="35" t="s">
        <v>49</v>
      </c>
      <c r="E9" s="53" t="s">
        <v>50</v>
      </c>
      <c r="F9" s="53" t="s">
        <v>51</v>
      </c>
      <c r="G9" s="54" t="s">
        <v>52</v>
      </c>
      <c r="H9" s="55" t="s">
        <v>53</v>
      </c>
      <c r="I9" s="22"/>
      <c r="J9" s="3"/>
      <c r="K9" s="3"/>
      <c r="L9" s="3"/>
      <c r="M9" s="3"/>
      <c r="N9" s="3"/>
      <c r="O9" s="3"/>
      <c r="P9" s="3"/>
      <c r="Q9" s="3"/>
      <c r="R9" s="3"/>
    </row>
    <row r="10" spans="1:18">
      <c r="A10" s="56"/>
      <c r="B10" s="57">
        <v>-6.1775700000000002</v>
      </c>
      <c r="C10" s="58">
        <v>106.82581999999999</v>
      </c>
      <c r="D10" s="59">
        <f>B10/180*(22/7)</f>
        <v>-0.10786233333333334</v>
      </c>
      <c r="E10" s="60">
        <v>0</v>
      </c>
      <c r="F10" s="60">
        <v>0</v>
      </c>
      <c r="G10" s="61"/>
      <c r="H10" s="61"/>
      <c r="I10" s="22"/>
      <c r="J10" s="62"/>
      <c r="K10" s="62"/>
      <c r="L10" s="3"/>
      <c r="M10" s="3"/>
      <c r="N10" s="3"/>
      <c r="O10" s="3"/>
      <c r="P10" s="3"/>
      <c r="Q10" s="3"/>
      <c r="R10" s="3"/>
    </row>
    <row r="11" spans="1:18">
      <c r="A11" s="56"/>
      <c r="B11" s="57">
        <v>-6.1768099999999997</v>
      </c>
      <c r="C11" s="58">
        <v>106.82492000000001</v>
      </c>
      <c r="D11" s="59">
        <f t="shared" ref="D11:D18" si="0">B11/180*(22/7)</f>
        <v>-0.10784906349206348</v>
      </c>
      <c r="E11" s="60">
        <f t="shared" ref="E11:E29" si="1">IF(C11&amp;B11&lt;&gt;"",(B11-B$10)/360*$F$7,0)</f>
        <v>84.636865587361498</v>
      </c>
      <c r="F11" s="60">
        <f t="shared" ref="F11:F29" si="2">IF(C11&amp;B70&lt;&gt;"",(C11-C$10)/360*$F$7*COS(D11),0)</f>
        <v>-99.645535680951497</v>
      </c>
      <c r="G11" s="63">
        <f t="shared" ref="G11:G29" si="3">((E10*F11)-(F10*E11))/2</f>
        <v>0</v>
      </c>
      <c r="H11" s="63">
        <f t="shared" ref="H11:H29" si="4">IF(F11&amp;E11&lt;&gt;"",((F11-F10)^2+(E11-E10)^2)^(1/2),"")</f>
        <v>130.73879224467723</v>
      </c>
      <c r="I11" s="22"/>
      <c r="J11" s="62"/>
      <c r="K11" s="62"/>
      <c r="L11" s="3"/>
      <c r="M11" s="3"/>
      <c r="N11" s="3"/>
      <c r="O11" s="3"/>
      <c r="P11" s="3"/>
      <c r="Q11" s="3"/>
      <c r="R11" s="3"/>
    </row>
    <row r="12" spans="1:18">
      <c r="A12" s="56"/>
      <c r="B12" s="64">
        <v>-6.1738400000000002</v>
      </c>
      <c r="C12" s="58">
        <v>106.82496999999999</v>
      </c>
      <c r="D12" s="59">
        <f t="shared" si="0"/>
        <v>-0.10779720634920635</v>
      </c>
      <c r="E12" s="60">
        <f t="shared" si="1"/>
        <v>415.38882715873143</v>
      </c>
      <c r="F12" s="60">
        <f t="shared" si="2"/>
        <v>-94.110200843871908</v>
      </c>
      <c r="G12" s="63">
        <f t="shared" si="3"/>
        <v>16713.224889445792</v>
      </c>
      <c r="H12" s="63">
        <f t="shared" si="4"/>
        <v>330.79827692276081</v>
      </c>
      <c r="I12" s="22"/>
      <c r="J12" s="62"/>
      <c r="K12" s="62"/>
      <c r="L12" s="3"/>
      <c r="M12" s="3"/>
      <c r="N12" s="3"/>
      <c r="O12" s="3"/>
      <c r="P12" s="3"/>
      <c r="Q12" s="3"/>
      <c r="R12" s="3"/>
    </row>
    <row r="13" spans="1:18">
      <c r="A13" s="56"/>
      <c r="B13" s="64">
        <v>-6.1731299999999996</v>
      </c>
      <c r="C13" s="58">
        <v>106.8257</v>
      </c>
      <c r="D13" s="59">
        <f t="shared" si="0"/>
        <v>-0.1077848095238095</v>
      </c>
      <c r="E13" s="60">
        <f t="shared" si="1"/>
        <v>494.45747790483608</v>
      </c>
      <c r="F13" s="60">
        <f t="shared" si="2"/>
        <v>-13.286163823910265</v>
      </c>
      <c r="G13" s="63">
        <f t="shared" si="3"/>
        <v>20507.284273062814</v>
      </c>
      <c r="H13" s="63">
        <f t="shared" si="4"/>
        <v>113.06801710038788</v>
      </c>
      <c r="I13" s="22"/>
      <c r="J13" s="62"/>
      <c r="K13" s="62"/>
      <c r="L13" s="3"/>
      <c r="M13" s="3"/>
      <c r="N13" s="3"/>
      <c r="O13" s="3"/>
      <c r="P13" s="3"/>
      <c r="Q13" s="3"/>
      <c r="R13" s="3"/>
    </row>
    <row r="14" spans="1:18">
      <c r="A14" s="56"/>
      <c r="B14" s="57">
        <v>-6.1731800000000003</v>
      </c>
      <c r="C14" s="58">
        <v>106.8288</v>
      </c>
      <c r="D14" s="59">
        <f t="shared" si="0"/>
        <v>-0.10778568253968254</v>
      </c>
      <c r="E14" s="60">
        <f t="shared" si="1"/>
        <v>488.88926306348031</v>
      </c>
      <c r="F14" s="60">
        <f t="shared" si="2"/>
        <v>329.93970380627673</v>
      </c>
      <c r="G14" s="63">
        <f t="shared" si="3"/>
        <v>84818.308322766199</v>
      </c>
      <c r="H14" s="63">
        <f t="shared" si="4"/>
        <v>343.27103173296484</v>
      </c>
      <c r="I14" s="22"/>
      <c r="J14" s="62"/>
      <c r="K14" s="62"/>
      <c r="L14" s="3"/>
      <c r="M14" s="3"/>
      <c r="N14" s="3"/>
      <c r="O14" s="3"/>
      <c r="P14" s="3"/>
      <c r="Q14" s="3"/>
      <c r="R14" s="3"/>
    </row>
    <row r="15" spans="1:18">
      <c r="A15" s="56"/>
      <c r="B15" s="57">
        <v>-6.1738999999999997</v>
      </c>
      <c r="C15" s="58">
        <v>106.82943</v>
      </c>
      <c r="D15" s="59">
        <f t="shared" si="0"/>
        <v>-0.10779825396825397</v>
      </c>
      <c r="E15" s="60">
        <f t="shared" si="1"/>
        <v>408.70696934926269</v>
      </c>
      <c r="F15" s="60">
        <f t="shared" si="2"/>
        <v>399.69151356598184</v>
      </c>
      <c r="G15" s="63">
        <f t="shared" si="3"/>
        <v>30278.116554671578</v>
      </c>
      <c r="H15" s="63">
        <f t="shared" si="4"/>
        <v>106.27565662007061</v>
      </c>
      <c r="I15" s="22"/>
      <c r="J15" s="3"/>
      <c r="K15" s="3"/>
      <c r="L15" s="3"/>
      <c r="M15" s="3"/>
      <c r="N15" s="3"/>
      <c r="O15" s="3"/>
      <c r="P15" s="3"/>
      <c r="Q15" s="3"/>
      <c r="R15" s="3"/>
    </row>
    <row r="16" spans="1:18">
      <c r="A16" s="56"/>
      <c r="B16" s="57">
        <v>-6.1767300000000001</v>
      </c>
      <c r="C16" s="64">
        <v>106.82939</v>
      </c>
      <c r="D16" s="59">
        <f t="shared" si="0"/>
        <v>-0.10784766666666666</v>
      </c>
      <c r="E16" s="60">
        <f t="shared" si="1"/>
        <v>93.5460093333527</v>
      </c>
      <c r="F16" s="60">
        <f t="shared" si="2"/>
        <v>395.260684650651</v>
      </c>
      <c r="G16" s="63">
        <f t="shared" si="3"/>
        <v>62078.125233988503</v>
      </c>
      <c r="H16" s="63">
        <f t="shared" si="4"/>
        <v>315.19210485516123</v>
      </c>
      <c r="I16" s="22"/>
      <c r="J16" s="3"/>
      <c r="K16" s="3"/>
      <c r="L16" s="3"/>
      <c r="M16" s="3"/>
      <c r="N16" s="3"/>
      <c r="O16" s="3"/>
      <c r="P16" s="3"/>
      <c r="Q16" s="3"/>
      <c r="R16" s="3"/>
    </row>
    <row r="17" spans="1:23">
      <c r="A17" s="56"/>
      <c r="B17" s="57">
        <v>-6.1776600000000004</v>
      </c>
      <c r="C17" s="64">
        <v>106.82845</v>
      </c>
      <c r="D17" s="59">
        <f t="shared" si="0"/>
        <v>-0.10786390476190476</v>
      </c>
      <c r="E17" s="60">
        <f t="shared" si="1"/>
        <v>-10.022786714301921</v>
      </c>
      <c r="F17" s="60">
        <f t="shared" si="2"/>
        <v>291.18593079192999</v>
      </c>
      <c r="G17" s="63">
        <f t="shared" si="3"/>
        <v>15600.447669202651</v>
      </c>
      <c r="H17" s="63">
        <f t="shared" si="4"/>
        <v>146.82659808602131</v>
      </c>
      <c r="I17" s="22"/>
      <c r="J17" s="3"/>
      <c r="K17" s="3"/>
      <c r="L17" s="3"/>
      <c r="M17" s="3"/>
      <c r="N17" s="3"/>
      <c r="O17" s="3"/>
      <c r="P17" s="3"/>
      <c r="Q17" s="3"/>
      <c r="R17" s="3"/>
    </row>
    <row r="18" spans="1:23">
      <c r="A18" s="56"/>
      <c r="B18" s="64">
        <v>-6.1775700000000002</v>
      </c>
      <c r="C18" s="65">
        <v>106.82581999999999</v>
      </c>
      <c r="D18" s="59">
        <f t="shared" si="0"/>
        <v>-0.10786233333333334</v>
      </c>
      <c r="E18" s="60">
        <f t="shared" si="1"/>
        <v>0</v>
      </c>
      <c r="F18" s="60">
        <f t="shared" si="2"/>
        <v>0</v>
      </c>
      <c r="G18" s="63">
        <f t="shared" si="3"/>
        <v>0</v>
      </c>
      <c r="H18" s="63">
        <f t="shared" si="4"/>
        <v>291.35837476325099</v>
      </c>
      <c r="I18" s="22"/>
      <c r="J18" s="3"/>
      <c r="K18" s="3"/>
      <c r="L18" s="3"/>
      <c r="M18" s="3"/>
      <c r="N18" s="3"/>
      <c r="O18" s="3"/>
      <c r="P18" s="3"/>
      <c r="Q18" s="3"/>
      <c r="R18" s="3"/>
    </row>
    <row r="19" spans="1:23">
      <c r="A19" s="56"/>
      <c r="B19" s="64"/>
      <c r="C19" s="65"/>
      <c r="D19" s="66"/>
      <c r="E19" s="60">
        <f t="shared" si="1"/>
        <v>0</v>
      </c>
      <c r="F19" s="60">
        <f t="shared" si="2"/>
        <v>0</v>
      </c>
      <c r="G19" s="63">
        <f t="shared" si="3"/>
        <v>0</v>
      </c>
      <c r="H19" s="63">
        <f t="shared" si="4"/>
        <v>0</v>
      </c>
      <c r="I19" s="22"/>
      <c r="J19" s="3"/>
      <c r="K19" s="3"/>
      <c r="L19" s="3"/>
      <c r="M19" s="3"/>
      <c r="N19" s="3"/>
      <c r="O19" s="3"/>
      <c r="P19" s="3"/>
      <c r="Q19" s="3"/>
      <c r="R19" s="3"/>
    </row>
    <row r="20" spans="1:23">
      <c r="A20" s="56"/>
      <c r="B20" s="65"/>
      <c r="C20" s="65"/>
      <c r="D20" s="67"/>
      <c r="E20" s="60">
        <f t="shared" si="1"/>
        <v>0</v>
      </c>
      <c r="F20" s="60">
        <f t="shared" si="2"/>
        <v>0</v>
      </c>
      <c r="G20" s="63">
        <f t="shared" si="3"/>
        <v>0</v>
      </c>
      <c r="H20" s="63">
        <f t="shared" si="4"/>
        <v>0</v>
      </c>
      <c r="I20" s="22"/>
      <c r="J20" s="3"/>
      <c r="K20" s="3"/>
      <c r="L20" s="3"/>
      <c r="M20" s="3"/>
      <c r="N20" s="3"/>
      <c r="O20" s="3"/>
      <c r="P20" s="3"/>
      <c r="Q20" s="3"/>
      <c r="R20" s="3"/>
    </row>
    <row r="21" spans="1:23">
      <c r="A21" s="56"/>
      <c r="B21" s="65"/>
      <c r="C21" s="65"/>
      <c r="D21" s="67"/>
      <c r="E21" s="60">
        <f t="shared" si="1"/>
        <v>0</v>
      </c>
      <c r="F21" s="60">
        <f t="shared" si="2"/>
        <v>0</v>
      </c>
      <c r="G21" s="63">
        <f t="shared" si="3"/>
        <v>0</v>
      </c>
      <c r="H21" s="63">
        <f t="shared" si="4"/>
        <v>0</v>
      </c>
      <c r="I21" s="22"/>
      <c r="J21" s="3"/>
      <c r="K21" s="3"/>
      <c r="L21" s="3"/>
      <c r="M21" s="3"/>
      <c r="N21" s="3"/>
      <c r="O21" s="3"/>
      <c r="P21" s="3"/>
      <c r="Q21" s="3"/>
      <c r="R21" s="3"/>
    </row>
    <row r="22" spans="1:23">
      <c r="A22" s="56"/>
      <c r="B22" s="65"/>
      <c r="C22" s="65"/>
      <c r="D22" s="67"/>
      <c r="E22" s="60">
        <f t="shared" si="1"/>
        <v>0</v>
      </c>
      <c r="F22" s="60">
        <f t="shared" si="2"/>
        <v>0</v>
      </c>
      <c r="G22" s="63">
        <f t="shared" si="3"/>
        <v>0</v>
      </c>
      <c r="H22" s="63">
        <f t="shared" si="4"/>
        <v>0</v>
      </c>
      <c r="I22" s="22"/>
      <c r="J22" s="3"/>
      <c r="K22" s="3"/>
      <c r="L22" s="3"/>
      <c r="M22" s="3"/>
      <c r="N22" s="3"/>
      <c r="O22" s="3"/>
      <c r="P22" s="3"/>
      <c r="Q22" s="3"/>
      <c r="R22" s="3"/>
    </row>
    <row r="23" spans="1:23">
      <c r="A23" s="56"/>
      <c r="B23" s="65"/>
      <c r="C23" s="65"/>
      <c r="D23" s="67"/>
      <c r="E23" s="60">
        <f t="shared" si="1"/>
        <v>0</v>
      </c>
      <c r="F23" s="60">
        <f t="shared" si="2"/>
        <v>0</v>
      </c>
      <c r="G23" s="63">
        <f t="shared" si="3"/>
        <v>0</v>
      </c>
      <c r="H23" s="63">
        <f t="shared" si="4"/>
        <v>0</v>
      </c>
      <c r="I23" s="22"/>
      <c r="J23" s="3"/>
      <c r="K23" s="3"/>
      <c r="L23" s="3"/>
      <c r="M23" s="3"/>
      <c r="N23" s="3"/>
      <c r="O23" s="3"/>
      <c r="P23" s="3"/>
      <c r="Q23" s="3"/>
      <c r="R23" s="3"/>
    </row>
    <row r="24" spans="1:23">
      <c r="A24" s="56"/>
      <c r="B24" s="65"/>
      <c r="C24" s="65"/>
      <c r="D24" s="67"/>
      <c r="E24" s="60">
        <f t="shared" si="1"/>
        <v>0</v>
      </c>
      <c r="F24" s="60">
        <f t="shared" si="2"/>
        <v>0</v>
      </c>
      <c r="G24" s="63">
        <f t="shared" si="3"/>
        <v>0</v>
      </c>
      <c r="H24" s="63">
        <f t="shared" si="4"/>
        <v>0</v>
      </c>
      <c r="I24" s="22"/>
      <c r="J24" s="3"/>
      <c r="K24" s="3"/>
      <c r="L24" s="3"/>
      <c r="M24" s="3"/>
      <c r="N24" s="3"/>
      <c r="O24" s="3"/>
      <c r="P24" s="3"/>
      <c r="Q24" s="3"/>
      <c r="R24" s="3"/>
    </row>
    <row r="25" spans="1:23">
      <c r="A25" s="56"/>
      <c r="B25" s="65"/>
      <c r="C25" s="65"/>
      <c r="D25" s="67"/>
      <c r="E25" s="60">
        <f t="shared" si="1"/>
        <v>0</v>
      </c>
      <c r="F25" s="60">
        <f t="shared" si="2"/>
        <v>0</v>
      </c>
      <c r="G25" s="63">
        <f t="shared" si="3"/>
        <v>0</v>
      </c>
      <c r="H25" s="63">
        <f t="shared" si="4"/>
        <v>0</v>
      </c>
      <c r="I25" s="22"/>
      <c r="J25" s="3"/>
      <c r="K25" s="3"/>
      <c r="L25" s="3"/>
      <c r="M25" s="3"/>
      <c r="N25" s="3"/>
      <c r="O25" s="3"/>
      <c r="P25" s="3"/>
      <c r="Q25" s="3"/>
      <c r="R25" s="3"/>
    </row>
    <row r="26" spans="1:23">
      <c r="A26" s="56"/>
      <c r="B26" s="65"/>
      <c r="C26" s="65"/>
      <c r="D26" s="67"/>
      <c r="E26" s="60">
        <f t="shared" si="1"/>
        <v>0</v>
      </c>
      <c r="F26" s="60">
        <f t="shared" si="2"/>
        <v>0</v>
      </c>
      <c r="G26" s="63">
        <f t="shared" si="3"/>
        <v>0</v>
      </c>
      <c r="H26" s="63">
        <f t="shared" si="4"/>
        <v>0</v>
      </c>
      <c r="I26" s="22"/>
      <c r="J26" s="3"/>
      <c r="K26" s="3"/>
      <c r="L26" s="3"/>
      <c r="M26" s="3"/>
      <c r="N26" s="3"/>
      <c r="O26" s="3"/>
      <c r="P26" s="3"/>
      <c r="Q26" s="3"/>
      <c r="R26" s="3"/>
    </row>
    <row r="27" spans="1:23">
      <c r="A27" s="56"/>
      <c r="B27" s="65"/>
      <c r="C27" s="65"/>
      <c r="D27" s="67"/>
      <c r="E27" s="60">
        <f t="shared" si="1"/>
        <v>0</v>
      </c>
      <c r="F27" s="60">
        <f t="shared" si="2"/>
        <v>0</v>
      </c>
      <c r="G27" s="63">
        <f t="shared" si="3"/>
        <v>0</v>
      </c>
      <c r="H27" s="63">
        <f t="shared" si="4"/>
        <v>0</v>
      </c>
      <c r="I27" s="22"/>
      <c r="J27" s="3"/>
      <c r="K27" s="3"/>
      <c r="L27" s="3"/>
      <c r="M27" s="3"/>
      <c r="N27" s="3"/>
      <c r="O27" s="3"/>
      <c r="P27" s="3"/>
      <c r="Q27" s="3"/>
      <c r="R27" s="3"/>
    </row>
    <row r="28" spans="1:23">
      <c r="A28" s="56"/>
      <c r="B28" s="58"/>
      <c r="C28" s="65"/>
      <c r="D28" s="68"/>
      <c r="E28" s="60">
        <f t="shared" si="1"/>
        <v>0</v>
      </c>
      <c r="F28" s="60">
        <f t="shared" si="2"/>
        <v>0</v>
      </c>
      <c r="G28" s="63">
        <f t="shared" si="3"/>
        <v>0</v>
      </c>
      <c r="H28" s="63">
        <f t="shared" si="4"/>
        <v>0</v>
      </c>
      <c r="I28" s="22"/>
      <c r="J28" s="3"/>
      <c r="K28" s="3"/>
      <c r="L28" s="3"/>
      <c r="M28" s="3"/>
      <c r="N28" s="3"/>
      <c r="O28" s="3"/>
      <c r="P28" s="3"/>
      <c r="Q28" s="3"/>
      <c r="R28" s="3"/>
    </row>
    <row r="29" spans="1:23">
      <c r="A29" s="56"/>
      <c r="B29" s="58"/>
      <c r="C29" s="65"/>
      <c r="D29" s="68"/>
      <c r="E29" s="60">
        <f t="shared" si="1"/>
        <v>0</v>
      </c>
      <c r="F29" s="60">
        <f t="shared" si="2"/>
        <v>0</v>
      </c>
      <c r="G29" s="63">
        <f t="shared" si="3"/>
        <v>0</v>
      </c>
      <c r="H29" s="63">
        <f t="shared" si="4"/>
        <v>0</v>
      </c>
      <c r="I29" s="22"/>
      <c r="J29" s="3"/>
      <c r="K29" s="3"/>
      <c r="L29" s="3"/>
      <c r="M29" s="3"/>
      <c r="N29" s="3"/>
      <c r="O29" s="3"/>
      <c r="P29" s="3"/>
      <c r="Q29" s="3"/>
      <c r="R29" s="3"/>
    </row>
    <row r="30" spans="1:23">
      <c r="B30" s="69"/>
      <c r="C30" s="70"/>
      <c r="D30" s="69"/>
      <c r="E30" s="71" t="s">
        <v>54</v>
      </c>
      <c r="F30" s="69"/>
      <c r="G30" s="72">
        <f>((SUM(G11:G29))^2)^(1/2)</f>
        <v>229995.50694313756</v>
      </c>
      <c r="H30" s="72">
        <f>SUM(H11:H29)</f>
        <v>1777.528852325295</v>
      </c>
      <c r="I30" s="73"/>
      <c r="J30" s="3"/>
      <c r="K30" s="3"/>
      <c r="L30" s="3"/>
      <c r="M30" s="3"/>
      <c r="N30" s="3"/>
      <c r="O30" s="3"/>
      <c r="P30" s="3"/>
      <c r="Q30" s="3"/>
      <c r="R30" s="3"/>
    </row>
    <row r="31" spans="1:23" ht="17.25">
      <c r="B31" s="20"/>
      <c r="C31" s="27"/>
      <c r="D31" s="20"/>
      <c r="G31" s="74" t="s">
        <v>55</v>
      </c>
      <c r="H31" s="74" t="s">
        <v>56</v>
      </c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23">
      <c r="B32" s="27"/>
      <c r="D32" s="27"/>
      <c r="F32" s="27"/>
      <c r="G32" s="38"/>
      <c r="T32" s="75"/>
      <c r="W32" s="75"/>
    </row>
    <row r="33" spans="1:23">
      <c r="A33" s="5" t="s">
        <v>2</v>
      </c>
      <c r="B33" s="27"/>
      <c r="D33" s="27"/>
      <c r="E33" s="28"/>
      <c r="F33" s="27"/>
      <c r="I33" s="5" t="s">
        <v>20</v>
      </c>
      <c r="J33" s="36"/>
      <c r="W33" s="76"/>
    </row>
    <row r="34" spans="1:23">
      <c r="A34" s="20" t="s">
        <v>6</v>
      </c>
      <c r="B34" s="27"/>
      <c r="D34" s="27"/>
      <c r="E34" s="28"/>
      <c r="F34" s="27"/>
      <c r="G34" s="38"/>
      <c r="I34" s="20" t="s">
        <v>24</v>
      </c>
      <c r="J34" s="36"/>
      <c r="T34" s="76"/>
      <c r="W34" s="76"/>
    </row>
    <row r="35" spans="1:23">
      <c r="A35" s="20" t="s">
        <v>4</v>
      </c>
      <c r="B35" s="27"/>
      <c r="D35" s="27"/>
      <c r="E35" s="28"/>
      <c r="F35" s="27"/>
      <c r="I35" s="20" t="s">
        <v>21</v>
      </c>
      <c r="J35" s="36"/>
      <c r="T35" s="76"/>
      <c r="W35" s="76"/>
    </row>
    <row r="36" spans="1:23">
      <c r="B36" s="27"/>
      <c r="D36" s="27"/>
      <c r="E36" s="28"/>
      <c r="F36" s="27"/>
      <c r="J36" s="36"/>
      <c r="T36" s="76"/>
      <c r="W36" s="76"/>
    </row>
    <row r="37" spans="1:23">
      <c r="A37" s="20" t="s">
        <v>14</v>
      </c>
      <c r="B37" s="27"/>
      <c r="D37" s="27"/>
      <c r="E37" s="28"/>
      <c r="F37" s="27"/>
      <c r="I37" s="20" t="s">
        <v>26</v>
      </c>
      <c r="J37" s="36"/>
      <c r="T37" s="76"/>
      <c r="W37" s="76"/>
    </row>
    <row r="38" spans="1:23">
      <c r="A38" s="20" t="s">
        <v>16</v>
      </c>
      <c r="B38" s="27"/>
      <c r="D38" s="27"/>
      <c r="E38" s="28"/>
      <c r="F38" s="27"/>
      <c r="I38" s="20" t="s">
        <v>27</v>
      </c>
      <c r="J38" s="36"/>
      <c r="T38" s="76"/>
      <c r="W38" s="75"/>
    </row>
    <row r="39" spans="1:23">
      <c r="B39" s="27"/>
      <c r="D39" s="27"/>
      <c r="E39" s="28"/>
      <c r="F39" s="27"/>
      <c r="J39" s="36"/>
      <c r="T39" s="76"/>
      <c r="W39" s="75"/>
    </row>
    <row r="40" spans="1:23">
      <c r="A40" s="20" t="s">
        <v>57</v>
      </c>
      <c r="I40" s="20" t="s">
        <v>58</v>
      </c>
      <c r="T40" s="75"/>
      <c r="W40" s="75"/>
    </row>
    <row r="41" spans="1:23">
      <c r="A41" s="3" t="s">
        <v>59</v>
      </c>
      <c r="I41" s="20" t="s">
        <v>60</v>
      </c>
      <c r="T41" s="75"/>
      <c r="W41" s="75"/>
    </row>
    <row r="42" spans="1:23">
      <c r="A42" s="77" t="s">
        <v>61</v>
      </c>
      <c r="I42" s="20" t="s">
        <v>62</v>
      </c>
    </row>
    <row r="43" spans="1:23">
      <c r="A43" s="77" t="s">
        <v>63</v>
      </c>
      <c r="I43" s="20" t="s">
        <v>64</v>
      </c>
    </row>
    <row r="44" spans="1:23">
      <c r="A44" s="20" t="s">
        <v>65</v>
      </c>
      <c r="I44" s="20" t="s">
        <v>66</v>
      </c>
    </row>
    <row r="45" spans="1:23">
      <c r="A45" s="20" t="s">
        <v>67</v>
      </c>
      <c r="I45" s="20" t="s">
        <v>68</v>
      </c>
    </row>
    <row r="47" spans="1:23">
      <c r="A47" s="20" t="s">
        <v>69</v>
      </c>
      <c r="I47" s="20" t="s">
        <v>70</v>
      </c>
    </row>
    <row r="48" spans="1:23">
      <c r="A48" s="20" t="s">
        <v>71</v>
      </c>
      <c r="I48" s="20" t="s">
        <v>72</v>
      </c>
    </row>
    <row r="50" spans="1:9">
      <c r="A50" s="20" t="s">
        <v>73</v>
      </c>
      <c r="I50" s="20" t="s">
        <v>74</v>
      </c>
    </row>
    <row r="51" spans="1:9">
      <c r="A51" t="s">
        <v>126</v>
      </c>
      <c r="B51" s="86"/>
      <c r="C51" s="86"/>
      <c r="D51" s="86"/>
      <c r="E51" s="86"/>
      <c r="F51" s="86"/>
      <c r="I51" t="s">
        <v>125</v>
      </c>
    </row>
    <row r="53" spans="1:9">
      <c r="A53" s="44" t="s">
        <v>92</v>
      </c>
      <c r="I53" s="44" t="s">
        <v>91</v>
      </c>
    </row>
    <row r="55" spans="1:9">
      <c r="A55" s="86"/>
      <c r="B55" s="86"/>
      <c r="C55" s="86"/>
      <c r="D55" s="86"/>
      <c r="E55" s="86"/>
      <c r="F55" s="86"/>
      <c r="G55" s="86"/>
    </row>
  </sheetData>
  <conditionalFormatting sqref="G9:H29">
    <cfRule type="cellIs" dxfId="0" priority="1" operator="equal">
      <formula>0</formula>
    </cfRule>
  </conditionalFormatting>
  <hyperlinks>
    <hyperlink ref="E4" r:id="rId1"/>
    <hyperlink ref="I53" r:id="rId2"/>
    <hyperlink ref="A53" r:id="rId3"/>
  </hyperlinks>
  <pageMargins left="0.7" right="0.7" top="0.75" bottom="0.75" header="0.3" footer="0.3"/>
  <pageSetup orientation="portrait" horizontalDpi="300" verticalDpi="300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2"/>
  <sheetViews>
    <sheetView zoomScale="94" zoomScaleNormal="94" workbookViewId="0">
      <selection activeCell="H9" sqref="H9"/>
    </sheetView>
  </sheetViews>
  <sheetFormatPr defaultRowHeight="15"/>
  <cols>
    <col min="1" max="1" width="16.5703125" style="3" customWidth="1"/>
    <col min="2" max="2" width="9.140625" style="3"/>
    <col min="3" max="6" width="13.140625" style="3" customWidth="1"/>
    <col min="7" max="7" width="7" style="3" customWidth="1"/>
    <col min="8" max="16384" width="9.140625" style="3"/>
  </cols>
  <sheetData>
    <row r="1" spans="1:10" ht="43.5" customHeight="1">
      <c r="A1" s="1" t="s">
        <v>0</v>
      </c>
      <c r="B1" s="2" t="s">
        <v>1</v>
      </c>
    </row>
    <row r="2" spans="1:10" ht="15.75">
      <c r="A2" s="4"/>
      <c r="H2" s="5" t="s">
        <v>2</v>
      </c>
    </row>
    <row r="3" spans="1:10">
      <c r="A3" s="6" t="s">
        <v>3</v>
      </c>
      <c r="C3" s="7"/>
      <c r="E3" s="8"/>
      <c r="F3" s="8"/>
      <c r="G3" s="9"/>
      <c r="H3" s="3" t="s">
        <v>4</v>
      </c>
    </row>
    <row r="4" spans="1:10">
      <c r="A4" s="6" t="s">
        <v>5</v>
      </c>
      <c r="C4" s="7"/>
      <c r="E4" s="8"/>
      <c r="F4" s="8"/>
      <c r="G4" s="9"/>
      <c r="H4" s="3" t="s">
        <v>6</v>
      </c>
    </row>
    <row r="5" spans="1:10" ht="16.5" thickBot="1">
      <c r="A5" s="4"/>
      <c r="C5" s="7"/>
      <c r="D5" s="10"/>
      <c r="H5" s="3" t="s">
        <v>7</v>
      </c>
    </row>
    <row r="6" spans="1:10">
      <c r="C6" s="151" t="s">
        <v>8</v>
      </c>
      <c r="D6" s="152"/>
      <c r="E6" s="152"/>
      <c r="F6" s="11" t="s">
        <v>9</v>
      </c>
      <c r="G6" s="9"/>
      <c r="I6" s="12"/>
    </row>
    <row r="7" spans="1:10" s="13" customFormat="1" ht="15.75" thickBot="1">
      <c r="B7" s="14"/>
      <c r="C7" s="15" t="s">
        <v>10</v>
      </c>
      <c r="D7" s="16" t="s">
        <v>11</v>
      </c>
      <c r="E7" s="17" t="s">
        <v>12</v>
      </c>
      <c r="F7" s="18" t="s">
        <v>13</v>
      </c>
      <c r="G7" s="19"/>
      <c r="H7" s="20" t="s">
        <v>14</v>
      </c>
      <c r="I7" s="12"/>
      <c r="J7" s="3"/>
    </row>
    <row r="8" spans="1:10">
      <c r="B8" s="21" t="s">
        <v>15</v>
      </c>
      <c r="C8" s="127">
        <v>-22</v>
      </c>
      <c r="D8" s="128">
        <v>-54</v>
      </c>
      <c r="E8" s="128">
        <v>-12</v>
      </c>
      <c r="F8" s="119">
        <f>C8+(D8/60)+(E8/60/60)</f>
        <v>-22.903333333333332</v>
      </c>
      <c r="G8" s="9"/>
      <c r="H8" s="20" t="s">
        <v>16</v>
      </c>
      <c r="I8" s="12"/>
    </row>
    <row r="9" spans="1:10" ht="15.75" thickBot="1">
      <c r="B9" s="21" t="s">
        <v>17</v>
      </c>
      <c r="C9" s="117">
        <v>-43</v>
      </c>
      <c r="D9" s="118">
        <v>-12</v>
      </c>
      <c r="E9" s="118">
        <v>-34</v>
      </c>
      <c r="F9" s="120">
        <f>C9+(D9/60)+(E9/60/60)</f>
        <v>-43.209444444444451</v>
      </c>
      <c r="G9" s="9"/>
      <c r="H9" s="3" t="s">
        <v>119</v>
      </c>
      <c r="I9" s="12"/>
    </row>
    <row r="10" spans="1:10">
      <c r="C10" s="22"/>
      <c r="D10" s="23"/>
      <c r="E10" s="24"/>
      <c r="F10" s="25"/>
      <c r="G10" s="26"/>
      <c r="I10" s="3" t="s">
        <v>120</v>
      </c>
    </row>
    <row r="11" spans="1:10">
      <c r="C11" s="22"/>
      <c r="D11" s="23"/>
      <c r="E11" s="24"/>
      <c r="F11" s="25"/>
      <c r="G11" s="26"/>
      <c r="H11" s="20"/>
      <c r="I11" s="27"/>
      <c r="J11" s="28"/>
    </row>
    <row r="12" spans="1:10">
      <c r="C12" s="22"/>
      <c r="D12" s="23"/>
      <c r="E12" s="24"/>
      <c r="F12" s="25"/>
      <c r="G12" s="26"/>
      <c r="H12" s="20"/>
      <c r="I12" s="27"/>
      <c r="J12" s="28"/>
    </row>
    <row r="13" spans="1:10">
      <c r="A13" s="6" t="s">
        <v>18</v>
      </c>
      <c r="C13" s="7"/>
      <c r="D13" s="10"/>
    </row>
    <row r="14" spans="1:10">
      <c r="A14" s="6" t="s">
        <v>19</v>
      </c>
      <c r="C14" s="7"/>
      <c r="D14" s="10"/>
      <c r="H14" s="5" t="s">
        <v>20</v>
      </c>
    </row>
    <row r="15" spans="1:10" ht="15.75" thickBot="1">
      <c r="A15" s="6"/>
      <c r="C15" s="7"/>
      <c r="D15" s="10"/>
      <c r="H15" s="3" t="s">
        <v>21</v>
      </c>
      <c r="J15" s="13"/>
    </row>
    <row r="16" spans="1:10">
      <c r="C16" s="29" t="s">
        <v>22</v>
      </c>
      <c r="D16" s="153" t="s">
        <v>23</v>
      </c>
      <c r="E16" s="153"/>
      <c r="F16" s="154"/>
      <c r="G16" s="9"/>
      <c r="H16" s="3" t="s">
        <v>24</v>
      </c>
    </row>
    <row r="17" spans="2:9" ht="15.75" thickBot="1">
      <c r="C17" s="30" t="s">
        <v>13</v>
      </c>
      <c r="D17" s="31" t="s">
        <v>10</v>
      </c>
      <c r="E17" s="16" t="s">
        <v>11</v>
      </c>
      <c r="F17" s="32" t="s">
        <v>12</v>
      </c>
      <c r="G17" s="9"/>
      <c r="H17" s="3" t="s">
        <v>25</v>
      </c>
    </row>
    <row r="18" spans="2:9">
      <c r="B18" s="21" t="s">
        <v>15</v>
      </c>
      <c r="C18" s="121">
        <v>-22.903333333333332</v>
      </c>
      <c r="D18" s="123">
        <f>ROUNDDOWN(C18,0)</f>
        <v>-22</v>
      </c>
      <c r="E18" s="123">
        <f>ROUNDDOWN(((C18-D18)*60),0)</f>
        <v>-54</v>
      </c>
      <c r="F18" s="124">
        <f>((C18-(D18+(E18/60)))*60*60)</f>
        <v>-12.000000000001876</v>
      </c>
      <c r="G18" s="9"/>
    </row>
    <row r="19" spans="2:9" ht="15.75" thickBot="1">
      <c r="B19" s="21" t="s">
        <v>17</v>
      </c>
      <c r="C19" s="122">
        <v>-43.209444444444451</v>
      </c>
      <c r="D19" s="125">
        <f>ROUNDDOWN(C19,0)</f>
        <v>-43</v>
      </c>
      <c r="E19" s="125">
        <f>ROUNDDOWN(((C19-D19)*60),0)</f>
        <v>-12</v>
      </c>
      <c r="F19" s="126">
        <f>((C19-(D19+(E19/60)))*60*60)</f>
        <v>-34.00000000001171</v>
      </c>
      <c r="G19" s="9"/>
      <c r="H19" s="20" t="s">
        <v>26</v>
      </c>
      <c r="I19" s="20"/>
    </row>
    <row r="20" spans="2:9">
      <c r="C20" s="7"/>
      <c r="D20" s="10"/>
      <c r="G20" s="9"/>
      <c r="H20" s="20" t="s">
        <v>27</v>
      </c>
      <c r="I20" s="20"/>
    </row>
    <row r="21" spans="2:9">
      <c r="C21" s="3" t="s">
        <v>28</v>
      </c>
      <c r="D21" s="10"/>
      <c r="G21" s="9"/>
      <c r="H21" s="3" t="s">
        <v>118</v>
      </c>
    </row>
    <row r="22" spans="2:9">
      <c r="C22" s="33" t="s">
        <v>29</v>
      </c>
      <c r="D22" s="10"/>
      <c r="E22" s="34" t="s">
        <v>115</v>
      </c>
      <c r="F22" s="34" t="s">
        <v>116</v>
      </c>
      <c r="G22" s="9"/>
      <c r="I22" s="3" t="s">
        <v>117</v>
      </c>
    </row>
    <row r="23" spans="2:9">
      <c r="C23" s="3" t="s">
        <v>30</v>
      </c>
      <c r="D23" s="10"/>
      <c r="E23" s="34" t="s">
        <v>31</v>
      </c>
      <c r="F23" s="34" t="s">
        <v>32</v>
      </c>
    </row>
    <row r="24" spans="2:9">
      <c r="C24" s="3" t="s">
        <v>33</v>
      </c>
      <c r="E24" s="34" t="s">
        <v>34</v>
      </c>
      <c r="F24" s="34" t="s">
        <v>35</v>
      </c>
    </row>
    <row r="25" spans="2:9">
      <c r="C25" s="3" t="s">
        <v>112</v>
      </c>
      <c r="E25" s="34" t="s">
        <v>113</v>
      </c>
      <c r="F25" s="34" t="s">
        <v>114</v>
      </c>
    </row>
    <row r="29" spans="2:9">
      <c r="C29"/>
      <c r="D29" s="10"/>
    </row>
    <row r="32" spans="2:9">
      <c r="C32" s="44"/>
    </row>
  </sheetData>
  <mergeCells count="2">
    <mergeCell ref="C6:E6"/>
    <mergeCell ref="D16:F16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end &amp; midpoint</vt:lpstr>
      <vt:lpstr>heading &amp; distance</vt:lpstr>
      <vt:lpstr>area &amp; perimeter</vt:lpstr>
      <vt:lpstr>conversion</vt:lpstr>
      <vt:lpstr>'heading &amp; distance'!OLE_LINK13</vt:lpstr>
      <vt:lpstr>'heading &amp; distance'!OLE_LINK15</vt:lpstr>
      <vt:lpstr>'heading &amp; distance'!OLE_LINK4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</dc:creator>
  <cp:lastModifiedBy>Heru</cp:lastModifiedBy>
  <dcterms:created xsi:type="dcterms:W3CDTF">2013-04-12T02:56:44Z</dcterms:created>
  <dcterms:modified xsi:type="dcterms:W3CDTF">2013-04-16T10:14:52Z</dcterms:modified>
</cp:coreProperties>
</file>