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b16\Documents\0_Manuscript\0_7942-Sucrose\submission 2nd\"/>
    </mc:Choice>
  </mc:AlternateContent>
  <bookViews>
    <workbookView xWindow="0" yWindow="0" windowWidth="19200" windowHeight="6470" firstSheet="6" activeTab="9"/>
  </bookViews>
  <sheets>
    <sheet name="Biomass_Protein" sheetId="1" r:id="rId1"/>
    <sheet name="Biomass_Carbohydrate" sheetId="2" r:id="rId2"/>
    <sheet name="Biomass_Lipid" sheetId="3" r:id="rId3"/>
    <sheet name="Biomass_Pigments" sheetId="4" r:id="rId4"/>
    <sheet name="Biomass_Nucleotides" sheetId="5" r:id="rId5"/>
    <sheet name="Biomass_Cofactors" sheetId="6" r:id="rId6"/>
    <sheet name="Biomass_Sucrose" sheetId="7" r:id="rId7"/>
    <sheet name="Biomass_Glycogen" sheetId="8" r:id="rId8"/>
    <sheet name="Growth, Sucrose, Glycogen rates" sheetId="9" r:id="rId9"/>
    <sheet name="Biomass Composition" sheetId="10" r:id="rId10"/>
  </sheets>
  <externalReferences>
    <externalReference r:id="rId11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0" l="1"/>
  <c r="I12" i="10"/>
  <c r="J12" i="10"/>
  <c r="H13" i="10"/>
  <c r="I13" i="10"/>
  <c r="J13" i="10"/>
  <c r="H14" i="10"/>
  <c r="I14" i="10"/>
  <c r="J14" i="10"/>
  <c r="H15" i="10"/>
  <c r="I15" i="10"/>
  <c r="J15" i="10"/>
  <c r="H16" i="10"/>
  <c r="I16" i="10"/>
  <c r="J16" i="10"/>
  <c r="H17" i="10"/>
  <c r="I17" i="10"/>
  <c r="J17" i="10"/>
  <c r="H18" i="10"/>
  <c r="I18" i="10"/>
  <c r="J18" i="10"/>
  <c r="H19" i="10"/>
  <c r="I19" i="10"/>
  <c r="J19" i="10"/>
  <c r="H20" i="10"/>
  <c r="I20" i="10"/>
  <c r="J20" i="10"/>
  <c r="H21" i="10"/>
  <c r="I21" i="10"/>
  <c r="J21" i="10"/>
  <c r="J11" i="10"/>
  <c r="I11" i="10"/>
  <c r="H11" i="10"/>
  <c r="I10" i="10"/>
  <c r="J10" i="10"/>
  <c r="H10" i="10"/>
  <c r="AE91" i="3" l="1"/>
  <c r="E59" i="3"/>
  <c r="E58" i="3"/>
  <c r="G55" i="3"/>
  <c r="F55" i="3"/>
  <c r="F60" i="3" s="1"/>
  <c r="E55" i="3"/>
  <c r="E60" i="3" s="1"/>
  <c r="G54" i="3"/>
  <c r="G60" i="3" s="1"/>
  <c r="F54" i="3"/>
  <c r="E54" i="3"/>
  <c r="G53" i="3"/>
  <c r="F53" i="3"/>
  <c r="E53" i="3"/>
  <c r="G52" i="3"/>
  <c r="F52" i="3"/>
  <c r="E52" i="3"/>
  <c r="G51" i="3"/>
  <c r="F51" i="3"/>
  <c r="E51" i="3"/>
  <c r="G50" i="3"/>
  <c r="F50" i="3"/>
  <c r="E50" i="3"/>
  <c r="AE49" i="3"/>
  <c r="G49" i="3"/>
  <c r="F49" i="3"/>
  <c r="E49" i="3"/>
  <c r="G48" i="3"/>
  <c r="F48" i="3"/>
  <c r="E48" i="3"/>
  <c r="G47" i="3"/>
  <c r="F47" i="3"/>
  <c r="E47" i="3"/>
  <c r="G46" i="3"/>
  <c r="F46" i="3"/>
  <c r="E46" i="3"/>
  <c r="G45" i="3"/>
  <c r="F45" i="3"/>
  <c r="E45" i="3"/>
  <c r="G44" i="3"/>
  <c r="F44" i="3"/>
  <c r="E44" i="3"/>
  <c r="S43" i="3" s="1"/>
  <c r="S38" i="3" s="1"/>
  <c r="G43" i="3"/>
  <c r="F43" i="3"/>
  <c r="F59" i="3" s="1"/>
  <c r="E43" i="3"/>
  <c r="AE42" i="3"/>
  <c r="G42" i="3"/>
  <c r="G59" i="3" s="1"/>
  <c r="F42" i="3"/>
  <c r="E42" i="3"/>
  <c r="AE41" i="3"/>
  <c r="G41" i="3"/>
  <c r="G58" i="3" s="1"/>
  <c r="F41" i="3"/>
  <c r="F58" i="3" s="1"/>
  <c r="E41" i="3"/>
  <c r="G40" i="3"/>
  <c r="F40" i="3"/>
  <c r="E40" i="3"/>
  <c r="E61" i="3" s="1"/>
  <c r="G39" i="3"/>
  <c r="F39" i="3"/>
  <c r="E39" i="3"/>
  <c r="G38" i="3"/>
  <c r="F38" i="3"/>
  <c r="E38" i="3"/>
  <c r="AE37" i="3"/>
  <c r="G37" i="3"/>
  <c r="G61" i="3" s="1"/>
  <c r="F37" i="3"/>
  <c r="E37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AQ22" i="3" s="1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AQ20" i="3" s="1"/>
  <c r="D20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AQ18" i="3" s="1"/>
  <c r="D18" i="3"/>
  <c r="N20" i="1"/>
  <c r="M20" i="1"/>
  <c r="L20" i="1"/>
  <c r="K20" i="1"/>
  <c r="K19" i="1"/>
  <c r="N19" i="1" s="1"/>
  <c r="N18" i="1"/>
  <c r="M18" i="1"/>
  <c r="L18" i="1"/>
  <c r="K18" i="1"/>
  <c r="D18" i="1"/>
  <c r="C18" i="1"/>
  <c r="B18" i="1"/>
  <c r="K17" i="1"/>
  <c r="M17" i="1" s="1"/>
  <c r="N16" i="1"/>
  <c r="M16" i="1"/>
  <c r="K16" i="1"/>
  <c r="L16" i="1" s="1"/>
  <c r="K15" i="1"/>
  <c r="N15" i="1" s="1"/>
  <c r="N14" i="1"/>
  <c r="M14" i="1"/>
  <c r="K14" i="1"/>
  <c r="L14" i="1" s="1"/>
  <c r="K13" i="1"/>
  <c r="L13" i="1" s="1"/>
  <c r="D13" i="1"/>
  <c r="C13" i="1"/>
  <c r="B13" i="1"/>
  <c r="K12" i="1"/>
  <c r="L12" i="1" s="1"/>
  <c r="N11" i="1"/>
  <c r="M11" i="1"/>
  <c r="L11" i="1"/>
  <c r="K11" i="1"/>
  <c r="K10" i="1"/>
  <c r="M10" i="1" s="1"/>
  <c r="N9" i="1"/>
  <c r="M9" i="1"/>
  <c r="L9" i="1"/>
  <c r="K9" i="1"/>
  <c r="K8" i="1"/>
  <c r="M8" i="1" s="1"/>
  <c r="N7" i="1"/>
  <c r="M7" i="1"/>
  <c r="L7" i="1"/>
  <c r="K7" i="1"/>
  <c r="K6" i="1"/>
  <c r="M6" i="1" s="1"/>
  <c r="D6" i="1"/>
  <c r="C6" i="1"/>
  <c r="B6" i="1"/>
  <c r="K5" i="1"/>
  <c r="N5" i="1" s="1"/>
  <c r="N4" i="1"/>
  <c r="M4" i="1"/>
  <c r="K4" i="1"/>
  <c r="L4" i="1" s="1"/>
  <c r="K3" i="1"/>
  <c r="L3" i="1" s="1"/>
  <c r="E23" i="10"/>
  <c r="E22" i="10"/>
  <c r="E20" i="10"/>
  <c r="D20" i="10"/>
  <c r="C20" i="10"/>
  <c r="E13" i="10"/>
  <c r="D13" i="10"/>
  <c r="C13" i="10"/>
  <c r="E12" i="10"/>
  <c r="D12" i="10"/>
  <c r="D22" i="10" s="1"/>
  <c r="C12" i="10"/>
  <c r="C22" i="10" s="1"/>
  <c r="F6" i="7"/>
  <c r="E6" i="7"/>
  <c r="D6" i="7"/>
  <c r="K27" i="2"/>
  <c r="J27" i="2"/>
  <c r="H27" i="2"/>
  <c r="G27" i="2"/>
  <c r="J25" i="2"/>
  <c r="H25" i="2"/>
  <c r="G25" i="2"/>
  <c r="J23" i="2"/>
  <c r="J21" i="2"/>
  <c r="H21" i="2"/>
  <c r="G21" i="2"/>
  <c r="K11" i="2"/>
  <c r="J11" i="2"/>
  <c r="I11" i="2"/>
  <c r="I27" i="2" s="1"/>
  <c r="H11" i="2"/>
  <c r="H23" i="2" s="1"/>
  <c r="N9" i="2"/>
  <c r="N7" i="2"/>
  <c r="N5" i="2"/>
  <c r="T43" i="3" l="1"/>
  <c r="Q43" i="3"/>
  <c r="R43" i="3"/>
  <c r="G62" i="3"/>
  <c r="E62" i="3"/>
  <c r="U43" i="3"/>
  <c r="AC43" i="3"/>
  <c r="B60" i="3"/>
  <c r="F62" i="3"/>
  <c r="AD43" i="3"/>
  <c r="B59" i="3"/>
  <c r="E57" i="3"/>
  <c r="E66" i="3" s="1"/>
  <c r="A59" i="3"/>
  <c r="S44" i="3"/>
  <c r="S39" i="3"/>
  <c r="S40" i="3"/>
  <c r="C59" i="3"/>
  <c r="F61" i="3"/>
  <c r="F57" i="3"/>
  <c r="F65" i="3" s="1"/>
  <c r="G57" i="3"/>
  <c r="G66" i="3" s="1"/>
  <c r="AE92" i="3"/>
  <c r="L17" i="1"/>
  <c r="L6" i="1"/>
  <c r="L5" i="1"/>
  <c r="M12" i="1"/>
  <c r="M3" i="1"/>
  <c r="M5" i="1"/>
  <c r="N6" i="1"/>
  <c r="N8" i="1"/>
  <c r="N10" i="1"/>
  <c r="N12" i="1"/>
  <c r="L19" i="1"/>
  <c r="L15" i="1"/>
  <c r="L10" i="1"/>
  <c r="M15" i="1"/>
  <c r="N13" i="1"/>
  <c r="N17" i="1"/>
  <c r="N3" i="1"/>
  <c r="M19" i="1"/>
  <c r="L8" i="1"/>
  <c r="L21" i="1" s="1"/>
  <c r="M13" i="1"/>
  <c r="C23" i="10"/>
  <c r="D23" i="10"/>
  <c r="J35" i="2"/>
  <c r="G23" i="2"/>
  <c r="N21" i="2"/>
  <c r="I35" i="2" s="1"/>
  <c r="N25" i="2"/>
  <c r="G39" i="2" s="1"/>
  <c r="E67" i="3" l="1"/>
  <c r="Q38" i="3"/>
  <c r="Q44" i="3"/>
  <c r="Q40" i="3"/>
  <c r="Q39" i="3"/>
  <c r="AE43" i="3"/>
  <c r="F66" i="3"/>
  <c r="U40" i="3"/>
  <c r="U39" i="3"/>
  <c r="U38" i="3"/>
  <c r="U44" i="3"/>
  <c r="T38" i="3"/>
  <c r="T40" i="3"/>
  <c r="T39" i="3"/>
  <c r="T44" i="3"/>
  <c r="R40" i="3"/>
  <c r="R44" i="3"/>
  <c r="R38" i="3"/>
  <c r="R39" i="3"/>
  <c r="AC44" i="3"/>
  <c r="E65" i="3"/>
  <c r="S48" i="3"/>
  <c r="AE93" i="3"/>
  <c r="F67" i="3"/>
  <c r="AE75" i="3" s="1"/>
  <c r="G67" i="3"/>
  <c r="AD44" i="3"/>
  <c r="G65" i="3"/>
  <c r="B43" i="1"/>
  <c r="B35" i="1"/>
  <c r="B37" i="1"/>
  <c r="B36" i="1"/>
  <c r="B42" i="1"/>
  <c r="B34" i="1"/>
  <c r="B47" i="1"/>
  <c r="B30" i="1"/>
  <c r="B45" i="1"/>
  <c r="B29" i="1"/>
  <c r="B48" i="1"/>
  <c r="B40" i="1"/>
  <c r="B32" i="1"/>
  <c r="B39" i="1"/>
  <c r="B31" i="1"/>
  <c r="B46" i="1"/>
  <c r="B38" i="1"/>
  <c r="B44" i="1"/>
  <c r="B33" i="1"/>
  <c r="B41" i="1"/>
  <c r="N21" i="1"/>
  <c r="M21" i="1"/>
  <c r="J22" i="10"/>
  <c r="H22" i="10"/>
  <c r="I22" i="10"/>
  <c r="K35" i="2"/>
  <c r="K39" i="2"/>
  <c r="G35" i="2"/>
  <c r="N23" i="2"/>
  <c r="G37" i="2" s="1"/>
  <c r="H35" i="2"/>
  <c r="J39" i="2"/>
  <c r="H39" i="2"/>
  <c r="I39" i="2"/>
  <c r="AE76" i="3" l="1"/>
  <c r="AE62" i="3"/>
  <c r="AE60" i="3"/>
  <c r="AE59" i="3"/>
  <c r="AE61" i="3"/>
  <c r="AE63" i="3"/>
  <c r="AE39" i="3"/>
  <c r="AE94" i="3"/>
  <c r="U48" i="3"/>
  <c r="R48" i="3"/>
  <c r="AE40" i="3"/>
  <c r="AC45" i="3"/>
  <c r="AD45" i="3"/>
  <c r="Q48" i="3"/>
  <c r="AE44" i="3"/>
  <c r="T48" i="3"/>
  <c r="AE38" i="3"/>
  <c r="C42" i="1"/>
  <c r="C34" i="1"/>
  <c r="C46" i="1"/>
  <c r="C45" i="1"/>
  <c r="C37" i="1"/>
  <c r="C44" i="1"/>
  <c r="C43" i="1"/>
  <c r="C30" i="1"/>
  <c r="C29" i="1"/>
  <c r="C36" i="1"/>
  <c r="C48" i="1"/>
  <c r="C40" i="1"/>
  <c r="C32" i="1"/>
  <c r="C38" i="1"/>
  <c r="C47" i="1"/>
  <c r="C39" i="1"/>
  <c r="C31" i="1"/>
  <c r="C35" i="1"/>
  <c r="C41" i="1"/>
  <c r="C33" i="1"/>
  <c r="D37" i="1"/>
  <c r="D34" i="1"/>
  <c r="D48" i="1"/>
  <c r="D40" i="1"/>
  <c r="D32" i="1"/>
  <c r="D36" i="1"/>
  <c r="D47" i="1"/>
  <c r="D39" i="1"/>
  <c r="D31" i="1"/>
  <c r="D29" i="1"/>
  <c r="D38" i="1"/>
  <c r="D30" i="1"/>
  <c r="D45" i="1"/>
  <c r="D44" i="1"/>
  <c r="D43" i="1"/>
  <c r="D35" i="1"/>
  <c r="D42" i="1"/>
  <c r="D46" i="1"/>
  <c r="D33" i="1"/>
  <c r="D41" i="1"/>
  <c r="J37" i="2"/>
  <c r="K37" i="2"/>
  <c r="H37" i="2"/>
  <c r="I37" i="2"/>
  <c r="AF63" i="3" l="1"/>
  <c r="AF61" i="3"/>
  <c r="AE48" i="3"/>
  <c r="AE45" i="3"/>
  <c r="AC46" i="3"/>
  <c r="AF60" i="3"/>
  <c r="AE95" i="3"/>
  <c r="AE66" i="3"/>
  <c r="AF62" i="3" s="1"/>
  <c r="AF59" i="3"/>
  <c r="AD46" i="3"/>
  <c r="AE77" i="3"/>
  <c r="P62" i="3" l="1"/>
  <c r="U62" i="3"/>
  <c r="S62" i="3"/>
  <c r="AH62" i="3"/>
  <c r="R62" i="3"/>
  <c r="Q62" i="3"/>
  <c r="AJ62" i="3" s="1"/>
  <c r="T62" i="3"/>
  <c r="AD62" i="3"/>
  <c r="AD47" i="3"/>
  <c r="T63" i="3"/>
  <c r="S63" i="3"/>
  <c r="Q63" i="3"/>
  <c r="U63" i="3"/>
  <c r="R63" i="3"/>
  <c r="P63" i="3"/>
  <c r="AH63" i="3"/>
  <c r="T61" i="3"/>
  <c r="AH61" i="3"/>
  <c r="R61" i="3"/>
  <c r="Q61" i="3"/>
  <c r="AJ61" i="3" s="1"/>
  <c r="P61" i="3"/>
  <c r="U61" i="3"/>
  <c r="S61" i="3"/>
  <c r="AD61" i="3"/>
  <c r="AE78" i="3"/>
  <c r="P60" i="3"/>
  <c r="AH60" i="3"/>
  <c r="S60" i="3"/>
  <c r="T60" i="3"/>
  <c r="AC60" i="3"/>
  <c r="Q60" i="3"/>
  <c r="AJ60" i="3" s="1"/>
  <c r="AD60" i="3"/>
  <c r="R60" i="3"/>
  <c r="U60" i="3"/>
  <c r="P59" i="3"/>
  <c r="AH59" i="3"/>
  <c r="S59" i="3"/>
  <c r="AJ59" i="3" s="1"/>
  <c r="T59" i="3"/>
  <c r="R59" i="3"/>
  <c r="U59" i="3"/>
  <c r="Q59" i="3"/>
  <c r="AD59" i="3"/>
  <c r="AC59" i="3"/>
  <c r="AF64" i="3"/>
  <c r="AF56" i="3"/>
  <c r="AF57" i="3"/>
  <c r="AF55" i="3"/>
  <c r="AF65" i="3"/>
  <c r="AF58" i="3"/>
  <c r="AF54" i="3"/>
  <c r="AF53" i="3"/>
  <c r="AC47" i="3"/>
  <c r="AC62" i="3"/>
  <c r="AE46" i="3"/>
  <c r="AE98" i="3"/>
  <c r="AC61" i="3"/>
  <c r="R65" i="3" l="1"/>
  <c r="AH65" i="3"/>
  <c r="Q65" i="3"/>
  <c r="AJ65" i="3" s="1"/>
  <c r="AD65" i="3"/>
  <c r="U65" i="3"/>
  <c r="T65" i="3"/>
  <c r="S65" i="3"/>
  <c r="AC65" i="3"/>
  <c r="P65" i="3"/>
  <c r="AH55" i="3"/>
  <c r="P55" i="3"/>
  <c r="AJ55" i="3" s="1"/>
  <c r="AD55" i="3"/>
  <c r="AC55" i="3"/>
  <c r="S55" i="3"/>
  <c r="U55" i="3"/>
  <c r="Q55" i="3"/>
  <c r="R55" i="3"/>
  <c r="T55" i="3"/>
  <c r="AF97" i="3"/>
  <c r="AF88" i="3"/>
  <c r="AF85" i="3"/>
  <c r="AF90" i="3"/>
  <c r="AF96" i="3"/>
  <c r="AF87" i="3"/>
  <c r="AF89" i="3"/>
  <c r="AF91" i="3"/>
  <c r="AF86" i="3"/>
  <c r="AF92" i="3"/>
  <c r="AF93" i="3"/>
  <c r="AF94" i="3"/>
  <c r="AH54" i="3"/>
  <c r="AD54" i="3"/>
  <c r="AC54" i="3"/>
  <c r="P54" i="3"/>
  <c r="S54" i="3"/>
  <c r="AJ54" i="3" s="1"/>
  <c r="T54" i="3"/>
  <c r="R54" i="3"/>
  <c r="U54" i="3"/>
  <c r="Q54" i="3"/>
  <c r="R57" i="3"/>
  <c r="P57" i="3"/>
  <c r="AJ57" i="3" s="1"/>
  <c r="T57" i="3"/>
  <c r="AD57" i="3"/>
  <c r="AC57" i="3"/>
  <c r="U57" i="3"/>
  <c r="Q57" i="3"/>
  <c r="AH57" i="3"/>
  <c r="S57" i="3"/>
  <c r="AE79" i="3"/>
  <c r="AC63" i="3"/>
  <c r="AJ63" i="3" s="1"/>
  <c r="AE47" i="3"/>
  <c r="P56" i="3"/>
  <c r="AC56" i="3"/>
  <c r="AJ56" i="3"/>
  <c r="AH56" i="3"/>
  <c r="AD56" i="3"/>
  <c r="S56" i="3"/>
  <c r="Q56" i="3"/>
  <c r="T56" i="3"/>
  <c r="R56" i="3"/>
  <c r="U56" i="3"/>
  <c r="P64" i="3"/>
  <c r="AJ64" i="3" s="1"/>
  <c r="AD64" i="3"/>
  <c r="AH64" i="3"/>
  <c r="AC64" i="3"/>
  <c r="S64" i="3"/>
  <c r="U64" i="3"/>
  <c r="Q64" i="3"/>
  <c r="T64" i="3"/>
  <c r="R64" i="3"/>
  <c r="AF66" i="3"/>
  <c r="AD53" i="3"/>
  <c r="AD35" i="3"/>
  <c r="U53" i="3"/>
  <c r="U35" i="3"/>
  <c r="R53" i="3"/>
  <c r="T53" i="3"/>
  <c r="T35" i="3"/>
  <c r="R35" i="3"/>
  <c r="S53" i="3"/>
  <c r="S35" i="3"/>
  <c r="Q53" i="3"/>
  <c r="P53" i="3"/>
  <c r="AH53" i="3"/>
  <c r="AC35" i="3"/>
  <c r="Q35" i="3"/>
  <c r="P35" i="3"/>
  <c r="AC53" i="3"/>
  <c r="AD63" i="3"/>
  <c r="AF95" i="3"/>
  <c r="T58" i="3"/>
  <c r="R58" i="3"/>
  <c r="AC58" i="3"/>
  <c r="AH58" i="3"/>
  <c r="Q58" i="3"/>
  <c r="P58" i="3"/>
  <c r="AD58" i="3"/>
  <c r="U58" i="3"/>
  <c r="S58" i="3"/>
  <c r="AJ58" i="3" s="1"/>
  <c r="AH92" i="3" l="1"/>
  <c r="P92" i="3"/>
  <c r="AJ92" i="3" s="1"/>
  <c r="S92" i="3"/>
  <c r="T92" i="3"/>
  <c r="R92" i="3"/>
  <c r="AC92" i="3"/>
  <c r="Q92" i="3"/>
  <c r="U92" i="3"/>
  <c r="AD92" i="3"/>
  <c r="U95" i="3"/>
  <c r="T95" i="3"/>
  <c r="S95" i="3"/>
  <c r="AH95" i="3"/>
  <c r="R95" i="3"/>
  <c r="AJ95" i="3" s="1"/>
  <c r="Q95" i="3"/>
  <c r="P95" i="3"/>
  <c r="AC86" i="3"/>
  <c r="AH86" i="3"/>
  <c r="P86" i="3"/>
  <c r="AJ86" i="3" s="1"/>
  <c r="AD86" i="3"/>
  <c r="S86" i="3"/>
  <c r="U86" i="3"/>
  <c r="T86" i="3"/>
  <c r="Q86" i="3"/>
  <c r="R86" i="3"/>
  <c r="P97" i="3"/>
  <c r="AD97" i="3"/>
  <c r="AC97" i="3"/>
  <c r="U97" i="3"/>
  <c r="T97" i="3"/>
  <c r="S97" i="3"/>
  <c r="R97" i="3"/>
  <c r="AH97" i="3"/>
  <c r="Q97" i="3"/>
  <c r="AJ97" i="3" s="1"/>
  <c r="P66" i="3"/>
  <c r="AJ91" i="3"/>
  <c r="AH91" i="3"/>
  <c r="P91" i="3"/>
  <c r="S91" i="3"/>
  <c r="AC91" i="3"/>
  <c r="AD91" i="3"/>
  <c r="R91" i="3"/>
  <c r="T91" i="3"/>
  <c r="Q91" i="3"/>
  <c r="U91" i="3"/>
  <c r="U89" i="3"/>
  <c r="T89" i="3"/>
  <c r="S89" i="3"/>
  <c r="R89" i="3"/>
  <c r="AH89" i="3"/>
  <c r="Q89" i="3"/>
  <c r="AJ89" i="3" s="1"/>
  <c r="P89" i="3"/>
  <c r="AD89" i="3"/>
  <c r="AC89" i="3"/>
  <c r="Q66" i="3"/>
  <c r="AD95" i="3"/>
  <c r="AJ53" i="3"/>
  <c r="AH87" i="3"/>
  <c r="P87" i="3"/>
  <c r="AD87" i="3"/>
  <c r="AC87" i="3"/>
  <c r="S87" i="3"/>
  <c r="U87" i="3"/>
  <c r="Q87" i="3"/>
  <c r="AJ87" i="3" s="1"/>
  <c r="R87" i="3"/>
  <c r="T87" i="3"/>
  <c r="AC66" i="3"/>
  <c r="AH96" i="3"/>
  <c r="P96" i="3"/>
  <c r="AJ96" i="3" s="1"/>
  <c r="AD96" i="3"/>
  <c r="AC96" i="3"/>
  <c r="S96" i="3"/>
  <c r="T96" i="3"/>
  <c r="Q96" i="3"/>
  <c r="R96" i="3"/>
  <c r="U96" i="3"/>
  <c r="P88" i="3"/>
  <c r="AD88" i="3"/>
  <c r="AC88" i="3"/>
  <c r="AJ88" i="3"/>
  <c r="AH88" i="3"/>
  <c r="S88" i="3"/>
  <c r="T88" i="3"/>
  <c r="U88" i="3"/>
  <c r="R88" i="3"/>
  <c r="Q88" i="3"/>
  <c r="AH66" i="3"/>
  <c r="AJ94" i="3"/>
  <c r="S94" i="3"/>
  <c r="AH94" i="3"/>
  <c r="R94" i="3"/>
  <c r="Q94" i="3"/>
  <c r="P94" i="3"/>
  <c r="U94" i="3"/>
  <c r="T94" i="3"/>
  <c r="AD94" i="3"/>
  <c r="AC94" i="3"/>
  <c r="R90" i="3"/>
  <c r="AH90" i="3"/>
  <c r="Q90" i="3"/>
  <c r="P90" i="3"/>
  <c r="AJ90" i="3" s="1"/>
  <c r="AD90" i="3"/>
  <c r="AC90" i="3"/>
  <c r="U90" i="3"/>
  <c r="T90" i="3"/>
  <c r="S90" i="3"/>
  <c r="AE82" i="3"/>
  <c r="AC95" i="3"/>
  <c r="U93" i="3"/>
  <c r="T93" i="3"/>
  <c r="AJ93" i="3"/>
  <c r="S93" i="3"/>
  <c r="AH93" i="3"/>
  <c r="R93" i="3"/>
  <c r="Q93" i="3"/>
  <c r="P93" i="3"/>
  <c r="AD93" i="3"/>
  <c r="AC93" i="3"/>
  <c r="AH85" i="3"/>
  <c r="AH98" i="3" s="1"/>
  <c r="Q85" i="3"/>
  <c r="AF98" i="3"/>
  <c r="P85" i="3"/>
  <c r="AD85" i="3"/>
  <c r="AC85" i="3"/>
  <c r="U85" i="3"/>
  <c r="T85" i="3"/>
  <c r="S85" i="3"/>
  <c r="R85" i="3"/>
  <c r="AC98" i="3" l="1"/>
  <c r="AF70" i="3"/>
  <c r="AF81" i="3"/>
  <c r="AF69" i="3"/>
  <c r="AF74" i="3"/>
  <c r="AF80" i="3"/>
  <c r="AF71" i="3"/>
  <c r="AF73" i="3"/>
  <c r="AF72" i="3"/>
  <c r="AF75" i="3"/>
  <c r="AF76" i="3"/>
  <c r="AF77" i="3"/>
  <c r="AF78" i="3"/>
  <c r="P98" i="3"/>
  <c r="AJ85" i="3"/>
  <c r="Q98" i="3"/>
  <c r="AF79" i="3"/>
  <c r="P71" i="3" l="1"/>
  <c r="AD71" i="3"/>
  <c r="AC71" i="3"/>
  <c r="AH71" i="3"/>
  <c r="S71" i="3"/>
  <c r="Q71" i="3"/>
  <c r="AJ71" i="3" s="1"/>
  <c r="R71" i="3"/>
  <c r="T71" i="3"/>
  <c r="U71" i="3"/>
  <c r="AD73" i="3"/>
  <c r="AC73" i="3"/>
  <c r="T73" i="3"/>
  <c r="R73" i="3"/>
  <c r="AJ73" i="3" s="1"/>
  <c r="AH73" i="3"/>
  <c r="Q73" i="3"/>
  <c r="P73" i="3"/>
  <c r="U73" i="3"/>
  <c r="S73" i="3"/>
  <c r="AH80" i="3"/>
  <c r="P80" i="3"/>
  <c r="AJ80" i="3" s="1"/>
  <c r="AD80" i="3"/>
  <c r="AC80" i="3"/>
  <c r="S80" i="3"/>
  <c r="T80" i="3"/>
  <c r="U80" i="3"/>
  <c r="Q80" i="3"/>
  <c r="R80" i="3"/>
  <c r="T74" i="3"/>
  <c r="S74" i="3"/>
  <c r="AH74" i="3"/>
  <c r="Q74" i="3"/>
  <c r="P74" i="3"/>
  <c r="AD74" i="3"/>
  <c r="AC74" i="3"/>
  <c r="U74" i="3"/>
  <c r="AJ74" i="3"/>
  <c r="R74" i="3"/>
  <c r="AH76" i="3"/>
  <c r="P76" i="3"/>
  <c r="S76" i="3"/>
  <c r="R76" i="3"/>
  <c r="AC76" i="3"/>
  <c r="Q76" i="3"/>
  <c r="AJ76" i="3" s="1"/>
  <c r="U76" i="3"/>
  <c r="AD76" i="3"/>
  <c r="T76" i="3"/>
  <c r="P75" i="3"/>
  <c r="AH75" i="3"/>
  <c r="S75" i="3"/>
  <c r="Q75" i="3"/>
  <c r="AJ75" i="3" s="1"/>
  <c r="R75" i="3"/>
  <c r="U75" i="3"/>
  <c r="AC75" i="3"/>
  <c r="T75" i="3"/>
  <c r="AD75" i="3"/>
  <c r="P70" i="3"/>
  <c r="AD70" i="3"/>
  <c r="AJ70" i="3"/>
  <c r="AH70" i="3"/>
  <c r="AC70" i="3"/>
  <c r="S70" i="3"/>
  <c r="R70" i="3"/>
  <c r="T70" i="3"/>
  <c r="U70" i="3"/>
  <c r="Q70" i="3"/>
  <c r="U78" i="3"/>
  <c r="T78" i="3"/>
  <c r="AH78" i="3"/>
  <c r="R78" i="3"/>
  <c r="Q78" i="3"/>
  <c r="P78" i="3"/>
  <c r="AJ78" i="3" s="1"/>
  <c r="S78" i="3"/>
  <c r="AD78" i="3"/>
  <c r="AC78" i="3"/>
  <c r="Q77" i="3"/>
  <c r="P77" i="3"/>
  <c r="U77" i="3"/>
  <c r="T77" i="3"/>
  <c r="S77" i="3"/>
  <c r="AJ77" i="3" s="1"/>
  <c r="AH77" i="3"/>
  <c r="R77" i="3"/>
  <c r="AD77" i="3"/>
  <c r="AC77" i="3"/>
  <c r="S69" i="3"/>
  <c r="R69" i="3"/>
  <c r="AF82" i="3"/>
  <c r="P69" i="3"/>
  <c r="P82" i="3" s="1"/>
  <c r="AC69" i="3"/>
  <c r="U69" i="3"/>
  <c r="T69" i="3"/>
  <c r="AH69" i="3"/>
  <c r="AD69" i="3"/>
  <c r="Q69" i="3"/>
  <c r="R81" i="3"/>
  <c r="AJ81" i="3" s="1"/>
  <c r="AH81" i="3"/>
  <c r="Q81" i="3"/>
  <c r="P81" i="3"/>
  <c r="AD81" i="3"/>
  <c r="AC81" i="3"/>
  <c r="U81" i="3"/>
  <c r="T81" i="3"/>
  <c r="S81" i="3"/>
  <c r="Q79" i="3"/>
  <c r="P79" i="3"/>
  <c r="U79" i="3"/>
  <c r="T79" i="3"/>
  <c r="S79" i="3"/>
  <c r="AH79" i="3"/>
  <c r="R79" i="3"/>
  <c r="AJ79" i="3" s="1"/>
  <c r="AC79" i="3"/>
  <c r="AD79" i="3"/>
  <c r="AH72" i="3"/>
  <c r="AD72" i="3"/>
  <c r="AC72" i="3"/>
  <c r="P72" i="3"/>
  <c r="AJ72" i="3" s="1"/>
  <c r="S72" i="3"/>
  <c r="T72" i="3"/>
  <c r="R72" i="3"/>
  <c r="Q72" i="3"/>
  <c r="U72" i="3"/>
  <c r="AC82" i="3" l="1"/>
  <c r="Q82" i="3"/>
  <c r="AJ69" i="3"/>
  <c r="AH82" i="3"/>
  <c r="F29" i="6" l="1"/>
  <c r="F28" i="6"/>
  <c r="F27" i="6"/>
  <c r="D26" i="6"/>
  <c r="F26" i="6" s="1"/>
  <c r="D25" i="6"/>
  <c r="F25" i="6" s="1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C6" i="5"/>
  <c r="C7" i="5" s="1"/>
  <c r="E7" i="5" s="1"/>
  <c r="C4" i="5"/>
  <c r="C5" i="5" s="1"/>
  <c r="E5" i="5" s="1"/>
  <c r="H13" i="4"/>
  <c r="H14" i="4"/>
  <c r="H15" i="4"/>
  <c r="H16" i="4"/>
  <c r="H12" i="4"/>
  <c r="G13" i="4"/>
  <c r="G17" i="4" s="1"/>
  <c r="G14" i="4"/>
  <c r="G15" i="4"/>
  <c r="G16" i="4"/>
  <c r="G12" i="4"/>
  <c r="F17" i="4"/>
  <c r="F13" i="4"/>
  <c r="F14" i="4"/>
  <c r="F15" i="4"/>
  <c r="F16" i="4"/>
  <c r="F12" i="4"/>
  <c r="D17" i="4"/>
  <c r="G4" i="6" l="1"/>
  <c r="E10" i="5"/>
  <c r="E12" i="5"/>
  <c r="E6" i="5"/>
  <c r="E4" i="5"/>
  <c r="J17" i="4"/>
  <c r="H29" i="6" l="1"/>
  <c r="H25" i="6"/>
  <c r="H28" i="6"/>
  <c r="H21" i="6"/>
  <c r="H17" i="6"/>
  <c r="H13" i="6"/>
  <c r="H9" i="6"/>
  <c r="H5" i="6"/>
  <c r="H24" i="6"/>
  <c r="H20" i="6"/>
  <c r="H16" i="6"/>
  <c r="H8" i="6"/>
  <c r="H19" i="6"/>
  <c r="H15" i="6"/>
  <c r="H11" i="6"/>
  <c r="H7" i="6"/>
  <c r="H18" i="6"/>
  <c r="H14" i="6"/>
  <c r="H6" i="6"/>
  <c r="H27" i="6"/>
  <c r="H12" i="6"/>
  <c r="H4" i="6"/>
  <c r="H10" i="6"/>
  <c r="H22" i="6"/>
  <c r="H23" i="6"/>
  <c r="H26" i="6"/>
  <c r="E9" i="5"/>
  <c r="F4" i="5"/>
  <c r="G4" i="5" s="1"/>
  <c r="E11" i="5"/>
  <c r="H6" i="5"/>
  <c r="H8" i="5" l="1"/>
  <c r="H5" i="5"/>
  <c r="H7" i="5"/>
  <c r="H4" i="5"/>
  <c r="F9" i="5"/>
  <c r="G9" i="5" s="1"/>
  <c r="H13" i="5" l="1"/>
  <c r="H12" i="5"/>
  <c r="H10" i="5"/>
  <c r="H9" i="5"/>
  <c r="H11" i="5"/>
  <c r="N3" i="4" l="1"/>
  <c r="M3" i="4"/>
  <c r="L3" i="4"/>
</calcChain>
</file>

<file path=xl/sharedStrings.xml><?xml version="1.0" encoding="utf-8"?>
<sst xmlns="http://schemas.openxmlformats.org/spreadsheetml/2006/main" count="689" uniqueCount="310">
  <si>
    <t>mmol/g protein</t>
  </si>
  <si>
    <t>Ala</t>
  </si>
  <si>
    <t>Arg</t>
  </si>
  <si>
    <t>Asn</t>
  </si>
  <si>
    <t>Asp</t>
  </si>
  <si>
    <t>Cys</t>
  </si>
  <si>
    <t>Gln</t>
  </si>
  <si>
    <t>Glt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</si>
  <si>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</si>
  <si>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</si>
  <si>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</si>
  <si>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</si>
  <si>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</si>
  <si>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</si>
  <si>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</si>
  <si>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</si>
  <si>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</si>
  <si>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</si>
  <si>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</si>
  <si>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</si>
  <si>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</si>
  <si>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mmol/ g carbohydrate</t>
  </si>
  <si>
    <t>N-Acetyl-Muramate</t>
  </si>
  <si>
    <t>N-Acetyl-Glucosamine</t>
  </si>
  <si>
    <t>Galactose</t>
  </si>
  <si>
    <t>Glucose (w/o glycogen)</t>
  </si>
  <si>
    <t>Mannose</t>
  </si>
  <si>
    <t>FA expressed as mmol/gDW of FAME</t>
  </si>
  <si>
    <t>Sample</t>
  </si>
  <si>
    <t>Mean</t>
  </si>
  <si>
    <t>C8:0</t>
  </si>
  <si>
    <t>C10:0</t>
  </si>
  <si>
    <t>C12:0</t>
  </si>
  <si>
    <t>C14:0</t>
  </si>
  <si>
    <t>C14:1</t>
  </si>
  <si>
    <t>C15:0</t>
  </si>
  <si>
    <t>C16:0</t>
  </si>
  <si>
    <t>C16:1n11</t>
  </si>
  <si>
    <t>C16:1n9</t>
  </si>
  <si>
    <t>C16:1n7</t>
  </si>
  <si>
    <t>C16:1n6</t>
  </si>
  <si>
    <t>C16:1n5</t>
  </si>
  <si>
    <t>C16 unknown1</t>
  </si>
  <si>
    <t>C16:2</t>
  </si>
  <si>
    <t>C17:0</t>
  </si>
  <si>
    <t>C16:3</t>
  </si>
  <si>
    <t>C17:1</t>
  </si>
  <si>
    <t>C16:4</t>
  </si>
  <si>
    <t>C18</t>
  </si>
  <si>
    <t>C18:1n9</t>
  </si>
  <si>
    <t>C18:1n7</t>
  </si>
  <si>
    <t>C18:2n6</t>
  </si>
  <si>
    <t>C18:3n6</t>
  </si>
  <si>
    <t>C18:3n3</t>
  </si>
  <si>
    <t>C18:4n3</t>
  </si>
  <si>
    <t>C20:0</t>
  </si>
  <si>
    <t>C20:1</t>
  </si>
  <si>
    <t>C20:2</t>
  </si>
  <si>
    <t>C20:3n6</t>
  </si>
  <si>
    <t>C20:4n6</t>
  </si>
  <si>
    <t>C20:3n3</t>
  </si>
  <si>
    <t>C20:5n3</t>
  </si>
  <si>
    <t>C22:0</t>
  </si>
  <si>
    <t>C22:1n9</t>
  </si>
  <si>
    <t>C22:2</t>
  </si>
  <si>
    <t>C22:4</t>
  </si>
  <si>
    <t>C22:5</t>
  </si>
  <si>
    <t>C24:0</t>
  </si>
  <si>
    <t>C22:6n3</t>
  </si>
  <si>
    <t>MW=586.7</t>
  </si>
  <si>
    <t>Chl a</t>
  </si>
  <si>
    <t>mmol/gDCW</t>
  </si>
  <si>
    <t>AVE</t>
  </si>
  <si>
    <t>Phycocyanobilin</t>
  </si>
  <si>
    <t>Carotenoid relative molar ratios (https://doi.org/10.1016/j.bbabio.2007.02.006)</t>
  </si>
  <si>
    <t>MW</t>
  </si>
  <si>
    <t>Average MW</t>
  </si>
  <si>
    <t>Nostoxanthin</t>
  </si>
  <si>
    <t>Cryptoxanthin</t>
  </si>
  <si>
    <t>Caloxanthin</t>
  </si>
  <si>
    <t>Zeaxanthin</t>
  </si>
  <si>
    <t>β-carotene</t>
  </si>
  <si>
    <t>sum</t>
  </si>
  <si>
    <t>Carotenoids</t>
  </si>
  <si>
    <t>mg/gDCW</t>
  </si>
  <si>
    <t>assumed formula (C5H7)8</t>
  </si>
  <si>
    <t>STDEV</t>
  </si>
  <si>
    <t>604 g/mol</t>
  </si>
  <si>
    <t>mmol C40/gDCW</t>
  </si>
  <si>
    <t>Normalized molar ratios</t>
  </si>
  <si>
    <t>Normalized mmol/gCrotenoids</t>
  </si>
  <si>
    <t>Normalized gDW</t>
  </si>
  <si>
    <t>Phycocyanobilin*</t>
  </si>
  <si>
    <t>*Molar ratio of phycocyanin to Chl a was estimated to be 0.75 based on the high Ci curves in Fig 1 of doi:10.1007/s11120-005-7383-y</t>
  </si>
  <si>
    <t>*The phycocyanobilin to phycocyanin (ab dimer) ratio is estimated to be 3 (Figure 5.17 in Molecular Mechanisms of Photosynthesis, 2nd Edition, 2014; ISBN 978-1405189750)</t>
  </si>
  <si>
    <t>Precursor</t>
  </si>
  <si>
    <t>Monomer</t>
  </si>
  <si>
    <t>Nucleotides 
(per cell)</t>
  </si>
  <si>
    <t>Molar mass
(g/mol)</t>
  </si>
  <si>
    <t>Relative abundance 
(% mol)</t>
  </si>
  <si>
    <t>Non-normalized biomass weight (gDW)</t>
  </si>
  <si>
    <t>Correction</t>
  </si>
  <si>
    <t>Stoichiometric coefficicents
( mmol/gDW)</t>
  </si>
  <si>
    <t>DNA</t>
  </si>
  <si>
    <t>dAMP</t>
  </si>
  <si>
    <t>value here is mmol/gDW of DNA</t>
  </si>
  <si>
    <t>dTMP</t>
  </si>
  <si>
    <t>dGMP</t>
  </si>
  <si>
    <t>dCMP</t>
  </si>
  <si>
    <t>Pyrophosphate</t>
  </si>
  <si>
    <t>RNA</t>
  </si>
  <si>
    <t>AMP</t>
  </si>
  <si>
    <t>value here is mmol/gDW of RNA</t>
  </si>
  <si>
    <t>UMP</t>
  </si>
  <si>
    <t>GMP</t>
  </si>
  <si>
    <t>CMP</t>
  </si>
  <si>
    <t>DNA(g/gDCW)</t>
  </si>
  <si>
    <t>RNA(g/gDCW)</t>
  </si>
  <si>
    <t>Metabolite Name</t>
  </si>
  <si>
    <t>Model ID</t>
  </si>
  <si>
    <t>Molar mass 
(g/mmol)</t>
  </si>
  <si>
    <t>Molar ratio (mmol)</t>
  </si>
  <si>
    <t>Mass ratio</t>
  </si>
  <si>
    <t>Stoichiometric coefficients
(mmol/gDW)</t>
  </si>
  <si>
    <t>Cofactors</t>
  </si>
  <si>
    <t>NADH</t>
  </si>
  <si>
    <t>nadh_c</t>
  </si>
  <si>
    <t>Fe3+</t>
  </si>
  <si>
    <t>fe3_c</t>
  </si>
  <si>
    <t>CoA</t>
  </si>
  <si>
    <t>coa_c</t>
  </si>
  <si>
    <t>Spermidine</t>
  </si>
  <si>
    <t>spmd_c</t>
  </si>
  <si>
    <t>5-methylTHF</t>
  </si>
  <si>
    <t>5mthf_c</t>
  </si>
  <si>
    <t>Fe2+</t>
  </si>
  <si>
    <t>fe2_c</t>
  </si>
  <si>
    <t>Na+</t>
  </si>
  <si>
    <t>na1_c</t>
  </si>
  <si>
    <t>K+</t>
  </si>
  <si>
    <t>k_c</t>
  </si>
  <si>
    <t>siroheme</t>
  </si>
  <si>
    <t>sheme_c</t>
  </si>
  <si>
    <t>NAD+</t>
  </si>
  <si>
    <t>nad_c</t>
  </si>
  <si>
    <t>methyleneTHF</t>
  </si>
  <si>
    <t>mlthf_c</t>
  </si>
  <si>
    <t>putriscine</t>
  </si>
  <si>
    <t>ptrc_c</t>
  </si>
  <si>
    <t>Ado-B12</t>
  </si>
  <si>
    <t>adocbl_c</t>
  </si>
  <si>
    <t>FAD</t>
  </si>
  <si>
    <t>fad_c</t>
  </si>
  <si>
    <t>NADPH</t>
  </si>
  <si>
    <t>nadph_c</t>
  </si>
  <si>
    <t>THF</t>
  </si>
  <si>
    <t>thf_c</t>
  </si>
  <si>
    <t>hemeO</t>
  </si>
  <si>
    <t>hemeO_c</t>
  </si>
  <si>
    <t>NADP+</t>
  </si>
  <si>
    <t>nadp_c</t>
  </si>
  <si>
    <t>B1</t>
  </si>
  <si>
    <t>thmpp_c</t>
  </si>
  <si>
    <t>phylloquinone</t>
  </si>
  <si>
    <t>phllqne_c</t>
  </si>
  <si>
    <t>B6</t>
  </si>
  <si>
    <t>pydx5p_c</t>
  </si>
  <si>
    <t>undecaprenyl phosphate</t>
  </si>
  <si>
    <t>udcpdp_c</t>
  </si>
  <si>
    <t>1-O-(L-erythro-biopterin-2-yl)-a-glucose</t>
  </si>
  <si>
    <t>gthbpt_c</t>
  </si>
  <si>
    <t>plastoquinone</t>
  </si>
  <si>
    <t>pq_um</t>
  </si>
  <si>
    <t>Lipoate (protein bound)</t>
  </si>
  <si>
    <t>lipopb_c</t>
  </si>
  <si>
    <t>biotin-AMP</t>
  </si>
  <si>
    <t>btamp_c</t>
  </si>
  <si>
    <t>Molar ratios based on 10.1073/pnas.1613446113</t>
  </si>
  <si>
    <t>Before normalization</t>
  </si>
  <si>
    <t>carbohydrate expressed as % of oven dry biomass weight</t>
  </si>
  <si>
    <t>Total</t>
  </si>
  <si>
    <t>Mannitol</t>
  </si>
  <si>
    <t>Fucose</t>
  </si>
  <si>
    <t>Rhamnose</t>
  </si>
  <si>
    <t>Galactosamine</t>
  </si>
  <si>
    <t>Arabinose</t>
  </si>
  <si>
    <t>Glucosamine</t>
  </si>
  <si>
    <t>Glucose</t>
  </si>
  <si>
    <t>Xylose</t>
  </si>
  <si>
    <t>Carbs*</t>
  </si>
  <si>
    <t>%</t>
  </si>
  <si>
    <t>&lt;loq</t>
  </si>
  <si>
    <t>N/D</t>
  </si>
  <si>
    <t>MW (g/mol)</t>
  </si>
  <si>
    <t>Notes:</t>
  </si>
  <si>
    <t>&lt;loq = monomers were present but below limit of quantitation</t>
  </si>
  <si>
    <t>N/D - monomer was not detected</t>
  </si>
  <si>
    <t>Counting N-Acetylmuramic acid and N-Acetylglucosamin</t>
  </si>
  <si>
    <t>Glucose (w/o glycogen)**</t>
  </si>
  <si>
    <t>Glycogen</t>
  </si>
  <si>
    <t xml:space="preserve">** Glucose w/o glycogen represents glucose from hydrolysis of (beta-)1,4-glucan, e.g., cellulose </t>
  </si>
  <si>
    <t>* Carbohydrates are reported on an oven dry biomass weight (corrected for moisture), excluding ribose and sucrose</t>
  </si>
  <si>
    <t>Ribose**</t>
  </si>
  <si>
    <t>** Ribose was used to calculate the RNA content</t>
  </si>
  <si>
    <t>* Carbohydrates excluding glycogen, ribose and sucrose</t>
  </si>
  <si>
    <t>Ribose***</t>
  </si>
  <si>
    <t>*** Ribose was used to calculate the RNA content</t>
  </si>
  <si>
    <t>Glycogen****</t>
  </si>
  <si>
    <t>**** Glycogen was calculated separately</t>
  </si>
  <si>
    <t>gSucr/gDCW</t>
  </si>
  <si>
    <t>mmol Sucr/gDCW</t>
  </si>
  <si>
    <t>n=8</t>
  </si>
  <si>
    <t>WT</t>
  </si>
  <si>
    <t>WT/NaCl</t>
  </si>
  <si>
    <t>cscB/NaCl</t>
  </si>
  <si>
    <t>StdErr</t>
  </si>
  <si>
    <t>Experimental glycogen biosynthesis rate (mmol/gDW/h)</t>
  </si>
  <si>
    <t>n=4</t>
  </si>
  <si>
    <t>Glycogen content (g/gDCW)</t>
  </si>
  <si>
    <t>Experimental sucrose biosynthesis rate (mmol/gDW/h)</t>
  </si>
  <si>
    <t>n=6</t>
  </si>
  <si>
    <t>Experimental growth rate (1/h)</t>
  </si>
  <si>
    <t>stDev</t>
  </si>
  <si>
    <t>Ash</t>
  </si>
  <si>
    <t>FAME</t>
  </si>
  <si>
    <t>Protein</t>
  </si>
  <si>
    <t>Carbs</t>
  </si>
  <si>
    <t>Chla</t>
  </si>
  <si>
    <t>Carot</t>
  </si>
  <si>
    <t>Sucrose</t>
  </si>
  <si>
    <t>SUM</t>
  </si>
  <si>
    <t>Other</t>
  </si>
  <si>
    <t>Phyco</t>
  </si>
  <si>
    <t>Others</t>
  </si>
  <si>
    <t>expressed as g/gDCW</t>
  </si>
  <si>
    <t>MW-H2O</t>
  </si>
  <si>
    <t>g/gDCW</t>
  </si>
  <si>
    <t>umol/gDCW</t>
  </si>
  <si>
    <t>Normalized</t>
  </si>
  <si>
    <t>* Asx included Aspartate and Asparagine; Glx includes Glutamate and glutamine</t>
  </si>
  <si>
    <t>Asx*</t>
  </si>
  <si>
    <t>Glx*</t>
  </si>
  <si>
    <t>Cys**</t>
  </si>
  <si>
    <t>Trp**</t>
  </si>
  <si>
    <t>** These two amino acids were not able to be detected due to technical issues, and their abundance was calculated using a molar ratio to leucine (10.1073/pnas.1613446113)</t>
  </si>
  <si>
    <t>gDW_protein</t>
  </si>
  <si>
    <t>% Total FAME*</t>
  </si>
  <si>
    <t>FAME by chain length expressed as a % of the total FAME content</t>
  </si>
  <si>
    <t>Molecular Weight (g/mol)</t>
  </si>
  <si>
    <t>* FAME was reported on an oven dry biomass weight (corrected for moisture)</t>
  </si>
  <si>
    <t>mmol/gDW of FAME</t>
  </si>
  <si>
    <t>A</t>
  </si>
  <si>
    <t>'sqdg160_c'</t>
  </si>
  <si>
    <t>B</t>
  </si>
  <si>
    <t>sqdg1619Z160_c'</t>
  </si>
  <si>
    <t>C</t>
  </si>
  <si>
    <t>'mgdg1619Z160_c'</t>
  </si>
  <si>
    <t>D</t>
  </si>
  <si>
    <t>'dgdg1619Z160_c'</t>
  </si>
  <si>
    <t>E</t>
  </si>
  <si>
    <t>dgdg160_c'</t>
  </si>
  <si>
    <t>F</t>
  </si>
  <si>
    <t>mgdg160_c'</t>
  </si>
  <si>
    <t>G</t>
  </si>
  <si>
    <t>'dgdg1819Z1619Z_c'</t>
  </si>
  <si>
    <t>H</t>
  </si>
  <si>
    <t>'mgdg1819Z1619Z_c'</t>
  </si>
  <si>
    <t>I</t>
  </si>
  <si>
    <t>'pg1819Z160_c'</t>
  </si>
  <si>
    <t>J</t>
  </si>
  <si>
    <t>'mgdg1819Z160_c'</t>
  </si>
  <si>
    <t>K</t>
  </si>
  <si>
    <t>'dgdg1819Z160Z_c'</t>
  </si>
  <si>
    <t>L</t>
  </si>
  <si>
    <t>pg1619Z160_c'</t>
  </si>
  <si>
    <t>M</t>
  </si>
  <si>
    <t>pg160_c'</t>
  </si>
  <si>
    <t>mmol/gFAME</t>
  </si>
  <si>
    <t>'sqdg1619Z160_c'</t>
  </si>
  <si>
    <t>Sum (All)</t>
  </si>
  <si>
    <t>C16:1 to C16:0 ratio</t>
  </si>
  <si>
    <t>SUM(C16:1)</t>
  </si>
  <si>
    <t>SUM(C18:1)</t>
  </si>
  <si>
    <t>Sum(C16:0, C16:1, C18:1)</t>
  </si>
  <si>
    <t xml:space="preserve"> </t>
  </si>
  <si>
    <t>Total C16:0 or C16:1 or C18:1</t>
  </si>
  <si>
    <t>Assumptions and constraints used to solve the coefficients</t>
  </si>
  <si>
    <t>1. Assume only three fatty acid species exist in cells, i.e., C16:0, C16:1 and C18:1</t>
  </si>
  <si>
    <t>2. Assume all C18:1 containing lipid are equal molar concentration</t>
  </si>
  <si>
    <t>3. Mass balance of each fatty aicd species of C16:0, C16:1 and C18:1</t>
  </si>
  <si>
    <t>4. Assume mgdg, dgdg, sqdg and pg are of 57%, 13%, 9% and 21% across three cell cultures. http://pcp.oxfordjournals.org/content/33/7/933.full.pdf+html</t>
  </si>
  <si>
    <t>5. Assume C16:0 and C16:1 maintain the same ratio across all lipid species within the same cell.</t>
  </si>
  <si>
    <t>violet lipid species, added in this sheet to better reflect the fatty acid species in pg (http://pcp.oxfordjournals.org/content/33/7/933.full.pdf+html).</t>
  </si>
  <si>
    <t>Orange lipid species, replaced 161_c with 160_c to better reflect the fatty acid composition in these lipid species (http://pcp.oxfordjournals.org/content/33/7/933.full.pdf+html).</t>
  </si>
  <si>
    <t>7942_SD</t>
  </si>
  <si>
    <t>7942_NaCl_SD</t>
  </si>
  <si>
    <t>cscB_NaCl_SD</t>
  </si>
  <si>
    <t>SD</t>
  </si>
  <si>
    <t>SE</t>
  </si>
  <si>
    <t>7942_AVE</t>
  </si>
  <si>
    <t>7942/NaCl_AVE</t>
  </si>
  <si>
    <t>cscB/NaCl_AVE</t>
  </si>
  <si>
    <t>7942/NaCl</t>
  </si>
  <si>
    <t>7942/NaCl_SD</t>
  </si>
  <si>
    <t>cscB/NaCl_SD</t>
  </si>
  <si>
    <t>Final Normalized Biomass Composition for MFA &amp; GSM</t>
  </si>
  <si>
    <t>Lipid</t>
  </si>
  <si>
    <t>Pigments</t>
  </si>
  <si>
    <t>Nucleic acids</t>
  </si>
  <si>
    <t>Normalized Ash-free Biomass Composition for Figure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</si>
</sst>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00000"/>
    <numFmt numFmtId="165" formatCode="0.00000"/>
    <numFmt numFmtId="166" formatCode="0.0000"/>
    <numFmt numFmtId="167" formatCode="0.000"/>
    <numFmt numFmtId="168" formatCode="#,##0.0"/>
    <numFmt numFmtId="169" formatCode="#,##0.000"/>
    <numFmt numFmtId="170" formatCode="0.0%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 Unicode MS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99FF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/>
  </cellStyleXfs>
  <cellXfs count="433">
    <xf numFmtId="0" fontId="0" fillId="0" borderId="0" xfId="0"/>
    <xf numFmtId="0" fontId="0" fillId="0" borderId="1" xfId="0" applyBorder="1"/>
    <xf numFmtId="166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5" xfId="0" applyFill="1" applyBorder="1"/>
    <xf numFmtId="0" fontId="0" fillId="0" borderId="6" xfId="0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 applyAlignment="1">
      <alignment vertical="center" shrinkToFit="1"/>
    </xf>
    <xf numFmtId="0" fontId="0" fillId="0" borderId="1" xfId="0" applyFill="1" applyBorder="1"/>
    <xf numFmtId="0" fontId="2" fillId="0" borderId="8" xfId="0" applyFont="1" applyFill="1" applyBorder="1" applyAlignment="1">
      <alignment wrapText="1"/>
    </xf>
    <xf numFmtId="166" fontId="0" fillId="0" borderId="1" xfId="0" applyNumberFormat="1" applyFill="1" applyBorder="1"/>
    <xf numFmtId="166" fontId="0" fillId="0" borderId="9" xfId="0" applyNumberFormat="1" applyFill="1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0" xfId="0" applyFill="1" applyBorder="1" applyAlignment="1">
      <alignment horizontal="center"/>
    </xf>
    <xf numFmtId="0" fontId="0" fillId="0" borderId="16" xfId="0" applyBorder="1"/>
    <xf numFmtId="0" fontId="0" fillId="0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/>
    <xf numFmtId="0" fontId="0" fillId="0" borderId="19" xfId="0" applyBorder="1"/>
    <xf numFmtId="0" fontId="0" fillId="0" borderId="20" xfId="0" applyBorder="1"/>
    <xf numFmtId="0" fontId="2" fillId="0" borderId="22" xfId="0" applyFont="1" applyBorder="1"/>
    <xf numFmtId="0" fontId="0" fillId="0" borderId="23" xfId="0" applyBorder="1"/>
    <xf numFmtId="0" fontId="0" fillId="0" borderId="23" xfId="0" applyBorder="1" applyAlignment="1">
      <alignment horizontal="center"/>
    </xf>
    <xf numFmtId="0" fontId="0" fillId="0" borderId="25" xfId="0" applyBorder="1"/>
    <xf numFmtId="0" fontId="3" fillId="0" borderId="23" xfId="0" applyFont="1" applyBorder="1" applyAlignment="1">
      <alignment wrapText="1"/>
    </xf>
    <xf numFmtId="0" fontId="5" fillId="0" borderId="23" xfId="0" applyFont="1" applyBorder="1" applyAlignment="1">
      <alignment wrapText="1"/>
    </xf>
    <xf numFmtId="166" fontId="0" fillId="0" borderId="2" xfId="0" applyNumberFormat="1" applyBorder="1"/>
    <xf numFmtId="0" fontId="2" fillId="0" borderId="0" xfId="0" applyFont="1" applyBorder="1"/>
    <xf numFmtId="0" fontId="0" fillId="0" borderId="0" xfId="0" applyBorder="1"/>
    <xf numFmtId="0" fontId="2" fillId="0" borderId="0" xfId="0" applyFont="1" applyFill="1" applyBorder="1"/>
    <xf numFmtId="11" fontId="0" fillId="0" borderId="0" xfId="0" applyNumberFormat="1" applyBorder="1"/>
    <xf numFmtId="0" fontId="0" fillId="0" borderId="0" xfId="0" applyFill="1" applyBorder="1"/>
    <xf numFmtId="166" fontId="0" fillId="0" borderId="0" xfId="0" applyNumberFormat="1" applyBorder="1"/>
    <xf numFmtId="0" fontId="0" fillId="0" borderId="7" xfId="0" applyBorder="1" applyAlignment="1">
      <alignment wrapText="1"/>
    </xf>
    <xf numFmtId="0" fontId="0" fillId="0" borderId="28" xfId="0" applyFill="1" applyBorder="1"/>
    <xf numFmtId="0" fontId="0" fillId="0" borderId="27" xfId="0" applyBorder="1"/>
    <xf numFmtId="0" fontId="0" fillId="0" borderId="29" xfId="0" applyBorder="1"/>
    <xf numFmtId="2" fontId="0" fillId="0" borderId="26" xfId="0" applyNumberFormat="1" applyBorder="1"/>
    <xf numFmtId="166" fontId="0" fillId="0" borderId="26" xfId="0" applyNumberFormat="1" applyBorder="1"/>
    <xf numFmtId="0" fontId="0" fillId="0" borderId="26" xfId="0" applyBorder="1"/>
    <xf numFmtId="0" fontId="0" fillId="0" borderId="29" xfId="0" applyBorder="1" applyAlignment="1">
      <alignment horizontal="center"/>
    </xf>
    <xf numFmtId="1" fontId="0" fillId="0" borderId="30" xfId="0" applyNumberFormat="1" applyBorder="1"/>
    <xf numFmtId="166" fontId="0" fillId="0" borderId="19" xfId="0" applyNumberFormat="1" applyBorder="1"/>
    <xf numFmtId="166" fontId="0" fillId="0" borderId="31" xfId="0" applyNumberFormat="1" applyBorder="1"/>
    <xf numFmtId="0" fontId="0" fillId="0" borderId="19" xfId="0" applyFill="1" applyBorder="1" applyAlignment="1">
      <alignment horizontal="center"/>
    </xf>
    <xf numFmtId="0" fontId="2" fillId="0" borderId="9" xfId="0" applyFont="1" applyBorder="1"/>
    <xf numFmtId="166" fontId="6" fillId="0" borderId="1" xfId="0" applyNumberFormat="1" applyFont="1" applyBorder="1" applyAlignment="1">
      <alignment horizontal="center"/>
    </xf>
    <xf numFmtId="0" fontId="0" fillId="0" borderId="0" xfId="0" applyAlignment="1">
      <alignment shrinkToFit="1"/>
    </xf>
    <xf numFmtId="0" fontId="0" fillId="0" borderId="42" xfId="0" applyBorder="1"/>
    <xf numFmtId="0" fontId="0" fillId="0" borderId="43" xfId="0" applyBorder="1"/>
    <xf numFmtId="0" fontId="2" fillId="0" borderId="43" xfId="0" applyFont="1" applyBorder="1"/>
    <xf numFmtId="0" fontId="2" fillId="0" borderId="44" xfId="0" applyFont="1" applyBorder="1" applyAlignment="1">
      <alignment shrinkToFit="1"/>
    </xf>
    <xf numFmtId="0" fontId="0" fillId="0" borderId="45" xfId="0" applyBorder="1" applyAlignment="1">
      <alignment shrinkToFit="1"/>
    </xf>
    <xf numFmtId="0" fontId="0" fillId="0" borderId="27" xfId="0" applyBorder="1" applyAlignment="1">
      <alignment shrinkToFit="1"/>
    </xf>
    <xf numFmtId="0" fontId="0" fillId="0" borderId="46" xfId="0" applyBorder="1"/>
    <xf numFmtId="0" fontId="0" fillId="0" borderId="0" xfId="0" applyFill="1"/>
    <xf numFmtId="0" fontId="2" fillId="0" borderId="0" xfId="0" applyFont="1" applyFill="1"/>
    <xf numFmtId="0" fontId="0" fillId="0" borderId="19" xfId="0" applyFill="1" applyBorder="1"/>
    <xf numFmtId="0" fontId="0" fillId="0" borderId="20" xfId="0" applyFill="1" applyBorder="1"/>
    <xf numFmtId="0" fontId="0" fillId="0" borderId="0" xfId="0" applyFill="1" applyBorder="1" applyAlignment="1">
      <alignment shrinkToFit="1"/>
    </xf>
    <xf numFmtId="0" fontId="2" fillId="0" borderId="0" xfId="0" applyFont="1" applyFill="1" applyBorder="1" applyAlignment="1">
      <alignment horizontal="right"/>
    </xf>
    <xf numFmtId="0" fontId="6" fillId="0" borderId="11" xfId="0" applyFont="1" applyBorder="1"/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164" fontId="6" fillId="0" borderId="1" xfId="0" applyNumberFormat="1" applyFont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1" fontId="6" fillId="0" borderId="1" xfId="0" applyNumberFormat="1" applyFont="1" applyBorder="1" applyAlignment="1">
      <alignment horizontal="center"/>
    </xf>
    <xf numFmtId="166" fontId="6" fillId="0" borderId="39" xfId="0" applyNumberFormat="1" applyFont="1" applyBorder="1"/>
    <xf numFmtId="164" fontId="0" fillId="0" borderId="1" xfId="0" applyNumberFormat="1" applyFont="1" applyBorder="1" applyAlignment="1">
      <alignment horizontal="center" vertical="center"/>
    </xf>
    <xf numFmtId="166" fontId="0" fillId="0" borderId="39" xfId="0" applyNumberFormat="1" applyFont="1" applyBorder="1"/>
    <xf numFmtId="164" fontId="0" fillId="0" borderId="1" xfId="0" applyNumberFormat="1" applyBorder="1" applyAlignment="1">
      <alignment horizontal="center" vertical="center"/>
    </xf>
    <xf numFmtId="0" fontId="0" fillId="0" borderId="39" xfId="0" applyBorder="1"/>
    <xf numFmtId="164" fontId="0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vertical="center"/>
    </xf>
    <xf numFmtId="164" fontId="0" fillId="0" borderId="1" xfId="0" applyNumberFormat="1" applyFill="1" applyBorder="1" applyAlignment="1">
      <alignment horizontal="center" vertical="center"/>
    </xf>
    <xf numFmtId="0" fontId="6" fillId="0" borderId="0" xfId="2" applyAlignment="1">
      <alignment horizontal="center"/>
    </xf>
    <xf numFmtId="0" fontId="6" fillId="0" borderId="0" xfId="2"/>
    <xf numFmtId="0" fontId="0" fillId="0" borderId="42" xfId="0" applyBorder="1" applyAlignment="1">
      <alignment wrapText="1"/>
    </xf>
    <xf numFmtId="0" fontId="9" fillId="0" borderId="49" xfId="2" applyFont="1" applyFill="1" applyBorder="1" applyAlignment="1">
      <alignment horizontal="center"/>
    </xf>
    <xf numFmtId="0" fontId="0" fillId="0" borderId="44" xfId="0" applyBorder="1"/>
    <xf numFmtId="0" fontId="9" fillId="0" borderId="42" xfId="2" applyFont="1" applyFill="1" applyBorder="1" applyAlignment="1">
      <alignment horizontal="center"/>
    </xf>
    <xf numFmtId="0" fontId="9" fillId="0" borderId="43" xfId="2" applyFont="1" applyFill="1" applyBorder="1" applyAlignment="1">
      <alignment horizontal="center"/>
    </xf>
    <xf numFmtId="0" fontId="9" fillId="0" borderId="48" xfId="2" applyFont="1" applyFill="1" applyBorder="1" applyAlignment="1">
      <alignment horizontal="center"/>
    </xf>
    <xf numFmtId="0" fontId="9" fillId="0" borderId="50" xfId="2" applyFont="1" applyFill="1" applyBorder="1" applyAlignment="1">
      <alignment horizontal="center"/>
    </xf>
    <xf numFmtId="0" fontId="9" fillId="0" borderId="45" xfId="2" applyFont="1" applyFill="1" applyBorder="1" applyAlignment="1">
      <alignment horizontal="center"/>
    </xf>
    <xf numFmtId="0" fontId="9" fillId="0" borderId="27" xfId="2" applyFont="1" applyFill="1" applyBorder="1" applyAlignment="1">
      <alignment horizontal="center"/>
    </xf>
    <xf numFmtId="0" fontId="9" fillId="0" borderId="46" xfId="2" applyFont="1" applyFill="1" applyBorder="1" applyAlignment="1">
      <alignment horizontal="center"/>
    </xf>
    <xf numFmtId="0" fontId="9" fillId="0" borderId="51" xfId="2" applyFont="1" applyFill="1" applyBorder="1" applyAlignment="1">
      <alignment horizontal="center"/>
    </xf>
    <xf numFmtId="0" fontId="2" fillId="2" borderId="44" xfId="0" applyFont="1" applyFill="1" applyBorder="1" applyAlignment="1">
      <alignment horizontal="left"/>
    </xf>
    <xf numFmtId="2" fontId="10" fillId="2" borderId="44" xfId="2" applyNumberFormat="1" applyFont="1" applyFill="1" applyBorder="1" applyAlignment="1">
      <alignment horizontal="center"/>
    </xf>
    <xf numFmtId="2" fontId="10" fillId="2" borderId="0" xfId="2" applyNumberFormat="1" applyFont="1" applyFill="1" applyBorder="1" applyAlignment="1">
      <alignment horizontal="center"/>
    </xf>
    <xf numFmtId="2" fontId="6" fillId="2" borderId="0" xfId="2" applyNumberFormat="1" applyFill="1" applyBorder="1"/>
    <xf numFmtId="2" fontId="6" fillId="3" borderId="0" xfId="2" applyNumberFormat="1" applyFill="1" applyBorder="1"/>
    <xf numFmtId="2" fontId="6" fillId="2" borderId="52" xfId="2" applyNumberFormat="1" applyFill="1" applyBorder="1"/>
    <xf numFmtId="2" fontId="6" fillId="0" borderId="0" xfId="2" applyNumberFormat="1" applyAlignment="1">
      <alignment horizontal="center"/>
    </xf>
    <xf numFmtId="0" fontId="0" fillId="0" borderId="44" xfId="0" applyBorder="1" applyAlignment="1">
      <alignment horizontal="left"/>
    </xf>
    <xf numFmtId="2" fontId="10" fillId="0" borderId="44" xfId="2" applyNumberFormat="1" applyFont="1" applyFill="1" applyBorder="1" applyAlignment="1">
      <alignment horizontal="center"/>
    </xf>
    <xf numFmtId="2" fontId="10" fillId="0" borderId="0" xfId="2" applyNumberFormat="1" applyFont="1" applyFill="1" applyBorder="1" applyAlignment="1">
      <alignment horizontal="center"/>
    </xf>
    <xf numFmtId="0" fontId="6" fillId="0" borderId="0" xfId="2" applyFill="1" applyBorder="1"/>
    <xf numFmtId="0" fontId="6" fillId="3" borderId="0" xfId="2" applyFill="1" applyBorder="1"/>
    <xf numFmtId="0" fontId="6" fillId="0" borderId="52" xfId="2" applyFill="1" applyBorder="1"/>
    <xf numFmtId="0" fontId="0" fillId="0" borderId="45" xfId="0" applyBorder="1" applyAlignment="1">
      <alignment horizontal="left"/>
    </xf>
    <xf numFmtId="2" fontId="10" fillId="0" borderId="45" xfId="2" applyNumberFormat="1" applyFont="1" applyFill="1" applyBorder="1" applyAlignment="1">
      <alignment horizontal="center"/>
    </xf>
    <xf numFmtId="2" fontId="10" fillId="0" borderId="27" xfId="2" applyNumberFormat="1" applyFont="1" applyFill="1" applyBorder="1" applyAlignment="1">
      <alignment horizontal="center"/>
    </xf>
    <xf numFmtId="0" fontId="6" fillId="0" borderId="27" xfId="2" applyFill="1" applyBorder="1"/>
    <xf numFmtId="0" fontId="6" fillId="3" borderId="27" xfId="2" applyFill="1" applyBorder="1"/>
    <xf numFmtId="0" fontId="6" fillId="0" borderId="46" xfId="2" applyFill="1" applyBorder="1"/>
    <xf numFmtId="0" fontId="6" fillId="0" borderId="0" xfId="2" applyAlignment="1">
      <alignment horizontal="left"/>
    </xf>
    <xf numFmtId="0" fontId="2" fillId="0" borderId="53" xfId="0" applyFont="1" applyBorder="1" applyAlignment="1">
      <alignment horizontal="left"/>
    </xf>
    <xf numFmtId="0" fontId="10" fillId="0" borderId="53" xfId="2" applyFont="1" applyBorder="1"/>
    <xf numFmtId="0" fontId="10" fillId="0" borderId="0" xfId="2" applyFont="1"/>
    <xf numFmtId="0" fontId="10" fillId="0" borderId="0" xfId="2" applyFont="1" applyFill="1"/>
    <xf numFmtId="170" fontId="6" fillId="0" borderId="0" xfId="2" applyNumberFormat="1" applyAlignment="1">
      <alignment horizontal="center"/>
    </xf>
    <xf numFmtId="0" fontId="10" fillId="0" borderId="0" xfId="2" applyFont="1" applyAlignment="1">
      <alignment horizontal="left"/>
    </xf>
    <xf numFmtId="0" fontId="7" fillId="0" borderId="0" xfId="2" applyFont="1"/>
    <xf numFmtId="0" fontId="9" fillId="0" borderId="43" xfId="2" applyFont="1" applyFill="1" applyBorder="1" applyAlignment="1">
      <alignment horizontal="center" wrapText="1"/>
    </xf>
    <xf numFmtId="0" fontId="7" fillId="0" borderId="0" xfId="2" applyFont="1" applyAlignment="1">
      <alignment horizontal="center"/>
    </xf>
    <xf numFmtId="2" fontId="6" fillId="0" borderId="0" xfId="2" applyNumberFormat="1" applyFill="1" applyBorder="1"/>
    <xf numFmtId="0" fontId="9" fillId="0" borderId="5" xfId="2" applyFont="1" applyBorder="1" applyAlignment="1">
      <alignment horizontal="left"/>
    </xf>
    <xf numFmtId="0" fontId="10" fillId="0" borderId="6" xfId="2" applyFont="1" applyBorder="1"/>
    <xf numFmtId="0" fontId="10" fillId="0" borderId="7" xfId="2" applyFont="1" applyBorder="1"/>
    <xf numFmtId="0" fontId="10" fillId="0" borderId="21" xfId="2" applyFont="1" applyBorder="1" applyAlignment="1">
      <alignment horizontal="left"/>
    </xf>
    <xf numFmtId="0" fontId="10" fillId="0" borderId="19" xfId="2" applyFont="1" applyBorder="1"/>
    <xf numFmtId="0" fontId="9" fillId="0" borderId="19" xfId="2" applyFont="1" applyBorder="1" applyAlignment="1">
      <alignment horizontal="center" wrapText="1"/>
    </xf>
    <xf numFmtId="0" fontId="9" fillId="0" borderId="19" xfId="2" applyFont="1" applyFill="1" applyBorder="1" applyAlignment="1">
      <alignment horizontal="center" wrapText="1"/>
    </xf>
    <xf numFmtId="0" fontId="9" fillId="0" borderId="19" xfId="2" applyFont="1" applyFill="1" applyBorder="1" applyAlignment="1">
      <alignment horizontal="center"/>
    </xf>
    <xf numFmtId="0" fontId="9" fillId="0" borderId="20" xfId="2" applyFont="1" applyFill="1" applyBorder="1" applyAlignment="1">
      <alignment horizontal="center"/>
    </xf>
    <xf numFmtId="0" fontId="2" fillId="4" borderId="22" xfId="0" applyFont="1" applyFill="1" applyBorder="1" applyAlignment="1">
      <alignment horizontal="left"/>
    </xf>
    <xf numFmtId="0" fontId="10" fillId="4" borderId="23" xfId="2" applyFont="1" applyFill="1" applyBorder="1"/>
    <xf numFmtId="0" fontId="0" fillId="0" borderId="8" xfId="0" applyBorder="1" applyAlignment="1">
      <alignment horizontal="left"/>
    </xf>
    <xf numFmtId="0" fontId="10" fillId="0" borderId="1" xfId="2" applyFont="1" applyBorder="1"/>
    <xf numFmtId="0" fontId="2" fillId="4" borderId="8" xfId="0" applyFont="1" applyFill="1" applyBorder="1" applyAlignment="1">
      <alignment horizontal="left"/>
    </xf>
    <xf numFmtId="0" fontId="10" fillId="4" borderId="1" xfId="2" applyFont="1" applyFill="1" applyBorder="1"/>
    <xf numFmtId="0" fontId="10" fillId="0" borderId="20" xfId="2" applyFont="1" applyBorder="1"/>
    <xf numFmtId="2" fontId="6" fillId="0" borderId="52" xfId="2" applyNumberFormat="1" applyFill="1" applyBorder="1"/>
    <xf numFmtId="2" fontId="6" fillId="0" borderId="27" xfId="2" applyNumberFormat="1" applyFill="1" applyBorder="1"/>
    <xf numFmtId="2" fontId="6" fillId="3" borderId="27" xfId="2" applyNumberFormat="1" applyFill="1" applyBorder="1"/>
    <xf numFmtId="2" fontId="6" fillId="0" borderId="46" xfId="2" applyNumberFormat="1" applyFill="1" applyBorder="1"/>
    <xf numFmtId="166" fontId="10" fillId="4" borderId="23" xfId="2" applyNumberFormat="1" applyFont="1" applyFill="1" applyBorder="1"/>
    <xf numFmtId="166" fontId="10" fillId="4" borderId="25" xfId="2" applyNumberFormat="1" applyFont="1" applyFill="1" applyBorder="1"/>
    <xf numFmtId="166" fontId="10" fillId="0" borderId="23" xfId="2" applyNumberFormat="1" applyFont="1" applyFill="1" applyBorder="1"/>
    <xf numFmtId="166" fontId="10" fillId="0" borderId="25" xfId="2" applyNumberFormat="1" applyFont="1" applyFill="1" applyBorder="1"/>
    <xf numFmtId="0" fontId="2" fillId="0" borderId="48" xfId="0" applyFont="1" applyBorder="1"/>
    <xf numFmtId="0" fontId="0" fillId="0" borderId="44" xfId="0" applyBorder="1" applyAlignment="1">
      <alignment shrinkToFit="1"/>
    </xf>
    <xf numFmtId="0" fontId="0" fillId="0" borderId="52" xfId="0" applyBorder="1"/>
    <xf numFmtId="0" fontId="0" fillId="4" borderId="13" xfId="0" applyFill="1" applyBorder="1"/>
    <xf numFmtId="0" fontId="0" fillId="4" borderId="14" xfId="0" applyFill="1" applyBorder="1"/>
    <xf numFmtId="165" fontId="0" fillId="4" borderId="14" xfId="0" applyNumberFormat="1" applyFill="1" applyBorder="1"/>
    <xf numFmtId="0" fontId="10" fillId="2" borderId="8" xfId="0" applyFont="1" applyFill="1" applyBorder="1"/>
    <xf numFmtId="0" fontId="10" fillId="0" borderId="1" xfId="0" applyFont="1" applyBorder="1"/>
    <xf numFmtId="0" fontId="10" fillId="0" borderId="9" xfId="0" applyFont="1" applyBorder="1"/>
    <xf numFmtId="0" fontId="10" fillId="0" borderId="8" xfId="0" applyFont="1" applyBorder="1"/>
    <xf numFmtId="0" fontId="10" fillId="0" borderId="21" xfId="0" applyFont="1" applyBorder="1"/>
    <xf numFmtId="0" fontId="10" fillId="0" borderId="19" xfId="0" applyFont="1" applyBorder="1"/>
    <xf numFmtId="0" fontId="10" fillId="0" borderId="0" xfId="0" applyFont="1"/>
    <xf numFmtId="0" fontId="10" fillId="0" borderId="1" xfId="0" applyFont="1" applyFill="1" applyBorder="1"/>
    <xf numFmtId="0" fontId="10" fillId="0" borderId="0" xfId="0" applyFont="1" applyBorder="1"/>
    <xf numFmtId="0" fontId="10" fillId="0" borderId="8" xfId="0" applyFont="1" applyFill="1" applyBorder="1"/>
    <xf numFmtId="0" fontId="10" fillId="0" borderId="9" xfId="0" applyFont="1" applyFill="1" applyBorder="1"/>
    <xf numFmtId="0" fontId="10" fillId="0" borderId="21" xfId="0" applyFont="1" applyFill="1" applyBorder="1"/>
    <xf numFmtId="0" fontId="10" fillId="0" borderId="19" xfId="0" applyFont="1" applyFill="1" applyBorder="1"/>
    <xf numFmtId="0" fontId="10" fillId="0" borderId="20" xfId="0" applyFont="1" applyFill="1" applyBorder="1"/>
    <xf numFmtId="166" fontId="10" fillId="0" borderId="1" xfId="0" applyNumberFormat="1" applyFont="1" applyBorder="1"/>
    <xf numFmtId="166" fontId="10" fillId="0" borderId="9" xfId="0" applyNumberFormat="1" applyFont="1" applyBorder="1"/>
    <xf numFmtId="166" fontId="10" fillId="0" borderId="19" xfId="0" applyNumberFormat="1" applyFont="1" applyBorder="1"/>
    <xf numFmtId="166" fontId="10" fillId="0" borderId="20" xfId="0" applyNumberFormat="1" applyFont="1" applyBorder="1"/>
    <xf numFmtId="166" fontId="10" fillId="0" borderId="1" xfId="0" applyNumberFormat="1" applyFont="1" applyFill="1" applyBorder="1"/>
    <xf numFmtId="166" fontId="10" fillId="0" borderId="9" xfId="0" applyNumberFormat="1" applyFont="1" applyFill="1" applyBorder="1"/>
    <xf numFmtId="166" fontId="10" fillId="0" borderId="19" xfId="0" applyNumberFormat="1" applyFont="1" applyFill="1" applyBorder="1"/>
    <xf numFmtId="166" fontId="10" fillId="0" borderId="20" xfId="0" applyNumberFormat="1" applyFont="1" applyFill="1" applyBorder="1"/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/>
    <xf numFmtId="0" fontId="2" fillId="0" borderId="2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21" xfId="0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2" fontId="0" fillId="0" borderId="12" xfId="0" applyNumberForma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3" xfId="0" applyFont="1" applyFill="1" applyBorder="1"/>
    <xf numFmtId="0" fontId="2" fillId="0" borderId="14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 wrapText="1"/>
    </xf>
    <xf numFmtId="0" fontId="2" fillId="0" borderId="15" xfId="0" applyFont="1" applyFill="1" applyBorder="1" applyAlignment="1">
      <alignment horizontal="center"/>
    </xf>
    <xf numFmtId="0" fontId="2" fillId="0" borderId="22" xfId="0" applyFont="1" applyFill="1" applyBorder="1"/>
    <xf numFmtId="0" fontId="0" fillId="0" borderId="23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2" fillId="0" borderId="8" xfId="0" applyFont="1" applyFill="1" applyBorder="1" applyAlignment="1">
      <alignment horizontal="left"/>
    </xf>
    <xf numFmtId="2" fontId="0" fillId="0" borderId="1" xfId="0" applyNumberFormat="1" applyFill="1" applyBorder="1" applyAlignment="1">
      <alignment horizontal="center"/>
    </xf>
    <xf numFmtId="2" fontId="0" fillId="0" borderId="9" xfId="0" applyNumberFormat="1" applyFill="1" applyBorder="1" applyAlignment="1">
      <alignment horizontal="center"/>
    </xf>
    <xf numFmtId="0" fontId="2" fillId="0" borderId="21" xfId="0" applyFont="1" applyFill="1" applyBorder="1" applyAlignment="1">
      <alignment horizontal="left"/>
    </xf>
    <xf numFmtId="2" fontId="0" fillId="0" borderId="19" xfId="0" applyNumberFormat="1" applyFill="1" applyBorder="1" applyAlignment="1">
      <alignment horizontal="center"/>
    </xf>
    <xf numFmtId="2" fontId="0" fillId="0" borderId="20" xfId="0" applyNumberForma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56" xfId="0" applyFill="1" applyBorder="1" applyAlignment="1">
      <alignment horizontal="center"/>
    </xf>
    <xf numFmtId="0" fontId="2" fillId="0" borderId="57" xfId="0" applyFont="1" applyFill="1" applyBorder="1" applyAlignment="1">
      <alignment horizontal="center"/>
    </xf>
    <xf numFmtId="0" fontId="2" fillId="0" borderId="58" xfId="0" applyFont="1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2" fontId="0" fillId="0" borderId="6" xfId="0" applyNumberFormat="1" applyFont="1" applyFill="1" applyBorder="1" applyAlignment="1">
      <alignment horizontal="center"/>
    </xf>
    <xf numFmtId="2" fontId="0" fillId="0" borderId="7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2" fontId="2" fillId="0" borderId="22" xfId="0" applyNumberFormat="1" applyFont="1" applyFill="1" applyBorder="1" applyAlignment="1">
      <alignment horizontal="center"/>
    </xf>
    <xf numFmtId="10" fontId="0" fillId="0" borderId="23" xfId="1" applyNumberFormat="1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2" fontId="0" fillId="0" borderId="9" xfId="0" applyNumberFormat="1" applyFont="1" applyFill="1" applyBorder="1" applyAlignment="1">
      <alignment horizontal="center"/>
    </xf>
    <xf numFmtId="2" fontId="2" fillId="0" borderId="8" xfId="0" applyNumberFormat="1" applyFont="1" applyFill="1" applyBorder="1" applyAlignment="1">
      <alignment horizontal="center"/>
    </xf>
    <xf numFmtId="10" fontId="0" fillId="0" borderId="1" xfId="1" applyNumberFormat="1" applyFont="1" applyFill="1" applyBorder="1" applyAlignment="1">
      <alignment horizontal="center"/>
    </xf>
    <xf numFmtId="2" fontId="9" fillId="0" borderId="8" xfId="0" applyNumberFormat="1" applyFont="1" applyFill="1" applyBorder="1" applyAlignment="1">
      <alignment horizontal="center"/>
    </xf>
    <xf numFmtId="2" fontId="2" fillId="0" borderId="10" xfId="0" applyNumberFormat="1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2" fontId="2" fillId="0" borderId="21" xfId="0" applyNumberFormat="1" applyFont="1" applyFill="1" applyBorder="1" applyAlignment="1">
      <alignment horizontal="center"/>
    </xf>
    <xf numFmtId="0" fontId="2" fillId="0" borderId="56" xfId="0" applyFont="1" applyFill="1" applyBorder="1" applyAlignment="1">
      <alignment horizontal="center"/>
    </xf>
    <xf numFmtId="2" fontId="0" fillId="0" borderId="57" xfId="0" applyNumberFormat="1" applyFont="1" applyFill="1" applyBorder="1" applyAlignment="1">
      <alignment horizontal="center"/>
    </xf>
    <xf numFmtId="2" fontId="0" fillId="0" borderId="58" xfId="0" applyNumberFormat="1" applyFont="1" applyFill="1" applyBorder="1" applyAlignment="1">
      <alignment horizontal="center"/>
    </xf>
    <xf numFmtId="2" fontId="2" fillId="0" borderId="13" xfId="0" applyNumberFormat="1" applyFont="1" applyFill="1" applyBorder="1" applyAlignment="1">
      <alignment horizontal="center"/>
    </xf>
    <xf numFmtId="2" fontId="0" fillId="0" borderId="14" xfId="0" applyNumberFormat="1" applyFill="1" applyBorder="1" applyAlignment="1">
      <alignment horizontal="center"/>
    </xf>
    <xf numFmtId="2" fontId="0" fillId="0" borderId="15" xfId="0" applyNumberFormat="1" applyFill="1" applyBorder="1" applyAlignment="1">
      <alignment horizontal="center"/>
    </xf>
    <xf numFmtId="0" fontId="3" fillId="0" borderId="59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10" fontId="2" fillId="0" borderId="0" xfId="1" applyNumberFormat="1" applyFont="1" applyFill="1"/>
    <xf numFmtId="1" fontId="0" fillId="0" borderId="0" xfId="0" applyNumberFormat="1" applyFill="1" applyBorder="1" applyAlignment="1"/>
    <xf numFmtId="1" fontId="10" fillId="0" borderId="0" xfId="0" applyNumberFormat="1" applyFont="1" applyFill="1" applyBorder="1" applyAlignment="1"/>
    <xf numFmtId="0" fontId="2" fillId="0" borderId="1" xfId="1" applyNumberFormat="1" applyFont="1" applyBorder="1"/>
    <xf numFmtId="0" fontId="0" fillId="0" borderId="9" xfId="0" applyFill="1" applyBorder="1"/>
    <xf numFmtId="0" fontId="9" fillId="0" borderId="35" xfId="0" applyFont="1" applyBorder="1" applyAlignment="1">
      <alignment horizontal="left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10" fillId="0" borderId="35" xfId="0" applyFont="1" applyBorder="1"/>
    <xf numFmtId="0" fontId="10" fillId="0" borderId="35" xfId="0" applyFont="1" applyBorder="1" applyAlignment="1">
      <alignment horizontal="center"/>
    </xf>
    <xf numFmtId="168" fontId="10" fillId="0" borderId="36" xfId="0" applyNumberFormat="1" applyFont="1" applyBorder="1" applyAlignment="1">
      <alignment horizontal="center"/>
    </xf>
    <xf numFmtId="169" fontId="10" fillId="0" borderId="35" xfId="0" applyNumberFormat="1" applyFont="1" applyBorder="1" applyAlignment="1">
      <alignment horizontal="center"/>
    </xf>
    <xf numFmtId="166" fontId="10" fillId="0" borderId="35" xfId="0" applyNumberFormat="1" applyFont="1" applyBorder="1" applyAlignment="1">
      <alignment horizontal="center"/>
    </xf>
    <xf numFmtId="166" fontId="10" fillId="0" borderId="36" xfId="0" applyNumberFormat="1" applyFont="1" applyBorder="1" applyAlignment="1">
      <alignment horizontal="center"/>
    </xf>
    <xf numFmtId="166" fontId="10" fillId="0" borderId="1" xfId="0" applyNumberFormat="1" applyFont="1" applyBorder="1" applyAlignment="1">
      <alignment horizontal="center"/>
    </xf>
    <xf numFmtId="0" fontId="10" fillId="0" borderId="37" xfId="0" applyFont="1" applyBorder="1"/>
    <xf numFmtId="0" fontId="10" fillId="0" borderId="37" xfId="0" applyFont="1" applyBorder="1" applyAlignment="1">
      <alignment horizontal="center"/>
    </xf>
    <xf numFmtId="168" fontId="10" fillId="0" borderId="38" xfId="0" applyNumberFormat="1" applyFont="1" applyBorder="1" applyAlignment="1">
      <alignment horizontal="center"/>
    </xf>
    <xf numFmtId="169" fontId="10" fillId="0" borderId="39" xfId="0" applyNumberFormat="1" applyFont="1" applyBorder="1" applyAlignment="1">
      <alignment horizontal="center"/>
    </xf>
    <xf numFmtId="166" fontId="10" fillId="0" borderId="40" xfId="0" applyNumberFormat="1" applyFont="1" applyBorder="1" applyAlignment="1">
      <alignment horizontal="center"/>
    </xf>
    <xf numFmtId="166" fontId="10" fillId="0" borderId="38" xfId="0" applyNumberFormat="1" applyFont="1" applyBorder="1" applyAlignment="1">
      <alignment horizontal="center"/>
    </xf>
    <xf numFmtId="169" fontId="10" fillId="0" borderId="37" xfId="0" applyNumberFormat="1" applyFont="1" applyBorder="1" applyAlignment="1">
      <alignment horizontal="center"/>
    </xf>
    <xf numFmtId="166" fontId="10" fillId="0" borderId="37" xfId="0" applyNumberFormat="1" applyFont="1" applyBorder="1" applyAlignment="1">
      <alignment horizontal="center"/>
    </xf>
    <xf numFmtId="0" fontId="0" fillId="0" borderId="37" xfId="0" applyFont="1" applyBorder="1"/>
    <xf numFmtId="168" fontId="10" fillId="0" borderId="37" xfId="0" applyNumberFormat="1" applyFont="1" applyBorder="1" applyAlignment="1">
      <alignment horizontal="center"/>
    </xf>
    <xf numFmtId="166" fontId="10" fillId="0" borderId="1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8" fontId="0" fillId="0" borderId="1" xfId="0" applyNumberFormat="1" applyFont="1" applyBorder="1" applyAlignment="1">
      <alignment horizontal="center"/>
    </xf>
    <xf numFmtId="169" fontId="10" fillId="0" borderId="2" xfId="0" applyNumberFormat="1" applyFont="1" applyBorder="1" applyAlignment="1">
      <alignment horizontal="center"/>
    </xf>
    <xf numFmtId="166" fontId="10" fillId="0" borderId="17" xfId="0" applyNumberFormat="1" applyFont="1" applyBorder="1" applyAlignment="1">
      <alignment horizontal="center"/>
    </xf>
    <xf numFmtId="166" fontId="10" fillId="0" borderId="4" xfId="0" applyNumberFormat="1" applyFont="1" applyBorder="1" applyAlignment="1">
      <alignment horizontal="center"/>
    </xf>
    <xf numFmtId="166" fontId="10" fillId="0" borderId="47" xfId="0" applyNumberFormat="1" applyFont="1" applyBorder="1" applyAlignment="1">
      <alignment horizontal="center"/>
    </xf>
    <xf numFmtId="166" fontId="10" fillId="0" borderId="39" xfId="0" applyNumberFormat="1" applyFont="1" applyBorder="1" applyAlignment="1">
      <alignment horizontal="center"/>
    </xf>
    <xf numFmtId="0" fontId="0" fillId="0" borderId="1" xfId="0" applyFont="1" applyBorder="1"/>
    <xf numFmtId="166" fontId="10" fillId="0" borderId="24" xfId="0" applyNumberFormat="1" applyFont="1" applyBorder="1" applyAlignment="1">
      <alignment horizontal="center"/>
    </xf>
    <xf numFmtId="166" fontId="10" fillId="0" borderId="23" xfId="0" applyNumberFormat="1" applyFont="1" applyBorder="1" applyAlignment="1">
      <alignment horizontal="center"/>
    </xf>
    <xf numFmtId="166" fontId="0" fillId="0" borderId="1" xfId="0" applyNumberFormat="1" applyFont="1" applyFill="1" applyBorder="1"/>
    <xf numFmtId="166" fontId="0" fillId="0" borderId="0" xfId="0" applyNumberFormat="1" applyFont="1"/>
    <xf numFmtId="166" fontId="0" fillId="0" borderId="6" xfId="0" applyNumberFormat="1" applyFont="1" applyBorder="1"/>
    <xf numFmtId="166" fontId="0" fillId="0" borderId="7" xfId="0" applyNumberFormat="1" applyFont="1" applyBorder="1"/>
    <xf numFmtId="166" fontId="0" fillId="0" borderId="1" xfId="0" applyNumberFormat="1" applyFont="1" applyBorder="1"/>
    <xf numFmtId="166" fontId="0" fillId="0" borderId="9" xfId="0" applyNumberFormat="1" applyFont="1" applyBorder="1"/>
    <xf numFmtId="166" fontId="0" fillId="0" borderId="19" xfId="0" applyNumberFormat="1" applyFont="1" applyBorder="1"/>
    <xf numFmtId="166" fontId="0" fillId="0" borderId="20" xfId="0" applyNumberFormat="1" applyFont="1" applyBorder="1"/>
    <xf numFmtId="0" fontId="0" fillId="0" borderId="43" xfId="0" applyBorder="1" applyAlignment="1">
      <alignment wrapText="1"/>
    </xf>
    <xf numFmtId="0" fontId="0" fillId="0" borderId="0" xfId="0" applyAlignment="1">
      <alignment wrapText="1"/>
    </xf>
    <xf numFmtId="0" fontId="2" fillId="0" borderId="44" xfId="0" applyFont="1" applyBorder="1" applyAlignment="1">
      <alignment horizontal="left"/>
    </xf>
    <xf numFmtId="2" fontId="2" fillId="0" borderId="0" xfId="0" applyNumberFormat="1" applyFont="1"/>
    <xf numFmtId="2" fontId="0" fillId="0" borderId="0" xfId="0" applyNumberFormat="1"/>
    <xf numFmtId="2" fontId="0" fillId="0" borderId="27" xfId="0" applyNumberFormat="1" applyBorder="1"/>
    <xf numFmtId="0" fontId="0" fillId="0" borderId="27" xfId="0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42" xfId="0" applyBorder="1" applyAlignment="1">
      <alignment horizontal="center"/>
    </xf>
    <xf numFmtId="0" fontId="2" fillId="0" borderId="43" xfId="0" applyFont="1" applyBorder="1" applyAlignment="1">
      <alignment horizontal="left"/>
    </xf>
    <xf numFmtId="0" fontId="0" fillId="0" borderId="43" xfId="0" applyBorder="1" applyAlignment="1">
      <alignment horizontal="center"/>
    </xf>
    <xf numFmtId="0" fontId="0" fillId="0" borderId="48" xfId="0" applyBorder="1" applyAlignment="1">
      <alignment horizontal="center"/>
    </xf>
    <xf numFmtId="0" fontId="2" fillId="0" borderId="34" xfId="0" applyFont="1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3" fillId="6" borderId="0" xfId="0" applyFont="1" applyFill="1"/>
    <xf numFmtId="0" fontId="2" fillId="4" borderId="1" xfId="0" applyFont="1" applyFill="1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quotePrefix="1" applyBorder="1"/>
    <xf numFmtId="0" fontId="0" fillId="7" borderId="1" xfId="0" quotePrefix="1" applyFill="1" applyBorder="1"/>
    <xf numFmtId="0" fontId="0" fillId="5" borderId="8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8" borderId="11" xfId="0" quotePrefix="1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8" borderId="19" xfId="0" quotePrefix="1" applyFill="1" applyBorder="1"/>
    <xf numFmtId="0" fontId="0" fillId="0" borderId="20" xfId="0" applyBorder="1" applyAlignment="1">
      <alignment horizontal="center"/>
    </xf>
    <xf numFmtId="0" fontId="0" fillId="0" borderId="33" xfId="0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9" xfId="0" applyFill="1" applyBorder="1" applyAlignment="1">
      <alignment horizontal="center"/>
    </xf>
    <xf numFmtId="165" fontId="0" fillId="4" borderId="61" xfId="0" applyNumberFormat="1" applyFill="1" applyBorder="1" applyAlignment="1">
      <alignment horizontal="center"/>
    </xf>
    <xf numFmtId="165" fontId="0" fillId="4" borderId="62" xfId="0" applyNumberFormat="1" applyFill="1" applyBorder="1" applyAlignment="1">
      <alignment horizontal="center"/>
    </xf>
    <xf numFmtId="0" fontId="2" fillId="0" borderId="0" xfId="0" applyFont="1" applyAlignment="1">
      <alignment horizontal="right"/>
    </xf>
    <xf numFmtId="167" fontId="0" fillId="0" borderId="45" xfId="0" applyNumberFormat="1" applyBorder="1"/>
    <xf numFmtId="167" fontId="0" fillId="0" borderId="27" xfId="0" applyNumberFormat="1" applyBorder="1" applyAlignment="1">
      <alignment horizontal="center"/>
    </xf>
    <xf numFmtId="167" fontId="0" fillId="0" borderId="46" xfId="0" applyNumberFormat="1" applyBorder="1"/>
    <xf numFmtId="0" fontId="0" fillId="0" borderId="0" xfId="0" applyAlignment="1">
      <alignment horizontal="right"/>
    </xf>
    <xf numFmtId="167" fontId="0" fillId="4" borderId="0" xfId="0" applyNumberFormat="1" applyFill="1" applyAlignment="1">
      <alignment horizontal="center"/>
    </xf>
    <xf numFmtId="165" fontId="0" fillId="4" borderId="63" xfId="0" applyNumberFormat="1" applyFill="1" applyBorder="1" applyAlignment="1">
      <alignment horizontal="center"/>
    </xf>
    <xf numFmtId="0" fontId="2" fillId="0" borderId="64" xfId="0" applyFont="1" applyFill="1" applyBorder="1" applyAlignment="1">
      <alignment horizontal="center"/>
    </xf>
    <xf numFmtId="0" fontId="9" fillId="0" borderId="20" xfId="0" applyFont="1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166" fontId="0" fillId="4" borderId="0" xfId="0" applyNumberFormat="1" applyFill="1" applyAlignment="1">
      <alignment horizontal="center"/>
    </xf>
    <xf numFmtId="0" fontId="0" fillId="0" borderId="16" xfId="0" applyBorder="1" applyAlignment="1">
      <alignment horizontal="center"/>
    </xf>
    <xf numFmtId="0" fontId="2" fillId="4" borderId="58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61" xfId="0" applyFill="1" applyBorder="1" applyAlignment="1">
      <alignment horizontal="center"/>
    </xf>
    <xf numFmtId="0" fontId="9" fillId="4" borderId="42" xfId="0" applyFont="1" applyFill="1" applyBorder="1"/>
    <xf numFmtId="0" fontId="9" fillId="4" borderId="43" xfId="0" applyFont="1" applyFill="1" applyBorder="1" applyAlignment="1">
      <alignment horizontal="center"/>
    </xf>
    <xf numFmtId="0" fontId="9" fillId="4" borderId="43" xfId="0" applyFont="1" applyFill="1" applyBorder="1"/>
    <xf numFmtId="0" fontId="10" fillId="4" borderId="43" xfId="0" applyFont="1" applyFill="1" applyBorder="1" applyAlignment="1">
      <alignment horizontal="center"/>
    </xf>
    <xf numFmtId="0" fontId="10" fillId="4" borderId="48" xfId="0" applyFont="1" applyFill="1" applyBorder="1" applyAlignment="1">
      <alignment horizontal="center"/>
    </xf>
    <xf numFmtId="0" fontId="0" fillId="4" borderId="62" xfId="0" applyFill="1" applyBorder="1" applyAlignment="1">
      <alignment horizontal="center"/>
    </xf>
    <xf numFmtId="0" fontId="10" fillId="4" borderId="44" xfId="0" applyFont="1" applyFill="1" applyBorder="1"/>
    <xf numFmtId="0" fontId="10" fillId="4" borderId="0" xfId="0" applyFont="1" applyFill="1" applyBorder="1" applyAlignment="1">
      <alignment horizontal="center"/>
    </xf>
    <xf numFmtId="0" fontId="10" fillId="4" borderId="0" xfId="0" applyFont="1" applyFill="1" applyBorder="1"/>
    <xf numFmtId="0" fontId="10" fillId="4" borderId="52" xfId="0" applyFont="1" applyFill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4" borderId="44" xfId="0" applyFill="1" applyBorder="1"/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0" fontId="0" fillId="4" borderId="52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0" fillId="4" borderId="65" xfId="0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9" borderId="8" xfId="0" quotePrefix="1" applyFill="1" applyBorder="1"/>
    <xf numFmtId="0" fontId="0" fillId="10" borderId="8" xfId="0" quotePrefix="1" applyFill="1" applyBorder="1"/>
    <xf numFmtId="0" fontId="10" fillId="9" borderId="44" xfId="0" applyFont="1" applyFill="1" applyBorder="1"/>
    <xf numFmtId="0" fontId="0" fillId="9" borderId="0" xfId="0" applyFill="1" applyBorder="1" applyAlignment="1">
      <alignment horizontal="center"/>
    </xf>
    <xf numFmtId="0" fontId="0" fillId="9" borderId="0" xfId="0" applyFill="1" applyBorder="1"/>
    <xf numFmtId="0" fontId="0" fillId="9" borderId="52" xfId="0" applyFill="1" applyBorder="1" applyAlignment="1">
      <alignment horizontal="center"/>
    </xf>
    <xf numFmtId="0" fontId="10" fillId="10" borderId="45" xfId="0" applyFont="1" applyFill="1" applyBorder="1"/>
    <xf numFmtId="0" fontId="0" fillId="10" borderId="27" xfId="0" applyFill="1" applyBorder="1" applyAlignment="1">
      <alignment horizontal="center"/>
    </xf>
    <xf numFmtId="0" fontId="0" fillId="10" borderId="27" xfId="0" applyFill="1" applyBorder="1"/>
    <xf numFmtId="0" fontId="0" fillId="10" borderId="46" xfId="0" applyFill="1" applyBorder="1" applyAlignment="1">
      <alignment horizontal="center"/>
    </xf>
    <xf numFmtId="166" fontId="0" fillId="0" borderId="27" xfId="0" applyNumberFormat="1" applyBorder="1"/>
    <xf numFmtId="166" fontId="0" fillId="0" borderId="46" xfId="0" applyNumberFormat="1" applyBorder="1"/>
    <xf numFmtId="0" fontId="0" fillId="0" borderId="0" xfId="0" applyBorder="1" applyAlignment="1">
      <alignment shrinkToFit="1"/>
    </xf>
    <xf numFmtId="166" fontId="0" fillId="0" borderId="52" xfId="0" applyNumberFormat="1" applyBorder="1"/>
    <xf numFmtId="0" fontId="9" fillId="0" borderId="36" xfId="0" applyFont="1" applyBorder="1" applyAlignment="1">
      <alignment horizontal="center" vertical="center" wrapText="1"/>
    </xf>
    <xf numFmtId="0" fontId="9" fillId="0" borderId="22" xfId="0" applyFont="1" applyFill="1" applyBorder="1" applyAlignment="1">
      <alignment horizontal="center"/>
    </xf>
    <xf numFmtId="0" fontId="9" fillId="0" borderId="23" xfId="0" applyFont="1" applyFill="1" applyBorder="1" applyAlignment="1">
      <alignment horizontal="center"/>
    </xf>
    <xf numFmtId="0" fontId="9" fillId="0" borderId="23" xfId="0" applyFont="1" applyFill="1" applyBorder="1" applyAlignment="1">
      <alignment horizontal="center" vertical="center" wrapText="1"/>
    </xf>
    <xf numFmtId="10" fontId="0" fillId="0" borderId="9" xfId="1" applyNumberFormat="1" applyFont="1" applyFill="1" applyBorder="1" applyAlignment="1">
      <alignment horizontal="center"/>
    </xf>
    <xf numFmtId="170" fontId="0" fillId="0" borderId="14" xfId="1" applyNumberFormat="1" applyFont="1" applyFill="1" applyBorder="1" applyAlignment="1">
      <alignment horizontal="center"/>
    </xf>
    <xf numFmtId="170" fontId="0" fillId="0" borderId="15" xfId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10" fontId="1" fillId="0" borderId="0" xfId="1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9" fillId="0" borderId="42" xfId="2" applyFont="1" applyFill="1" applyBorder="1" applyAlignment="1">
      <alignment horizontal="center"/>
    </xf>
    <xf numFmtId="0" fontId="9" fillId="0" borderId="43" xfId="2" applyFont="1" applyFill="1" applyBorder="1" applyAlignment="1">
      <alignment horizontal="center"/>
    </xf>
    <xf numFmtId="0" fontId="9" fillId="0" borderId="48" xfId="2" applyFont="1" applyFill="1" applyBorder="1" applyAlignment="1">
      <alignment horizontal="center"/>
    </xf>
    <xf numFmtId="0" fontId="2" fillId="0" borderId="43" xfId="0" applyFont="1" applyBorder="1" applyAlignment="1">
      <alignment horizontal="left" vertical="center" wrapText="1"/>
    </xf>
    <xf numFmtId="0" fontId="2" fillId="0" borderId="48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8" xfId="0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9" fillId="0" borderId="35" xfId="0" applyFont="1" applyBorder="1" applyAlignment="1">
      <alignment horizontal="left" vertical="center"/>
    </xf>
    <xf numFmtId="0" fontId="10" fillId="0" borderId="37" xfId="0" applyFont="1" applyBorder="1"/>
    <xf numFmtId="0" fontId="10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/>
    <xf numFmtId="0" fontId="7" fillId="0" borderId="11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9" fillId="0" borderId="5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9" fillId="2" borderId="54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horizontal="center" vertical="center" wrapText="1"/>
    </xf>
    <xf numFmtId="0" fontId="9" fillId="2" borderId="5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2" fillId="0" borderId="54" xfId="0" applyFont="1" applyFill="1" applyBorder="1" applyAlignment="1">
      <alignment horizontal="center" wrapText="1"/>
    </xf>
    <xf numFmtId="0" fontId="2" fillId="0" borderId="32" xfId="0" applyFont="1" applyFill="1" applyBorder="1" applyAlignment="1">
      <alignment horizontal="center" wrapText="1"/>
    </xf>
    <xf numFmtId="0" fontId="2" fillId="0" borderId="55" xfId="0" applyFont="1" applyFill="1" applyBorder="1" applyAlignment="1">
      <alignment horizontal="center" wrapText="1"/>
    </xf>
    <xf numFmtId="10" fontId="1" fillId="0" borderId="1" xfId="1" applyNumberFormat="1" applyFont="1" applyFill="1" applyBorder="1" applyAlignment="1">
      <alignment horizontal="center"/>
    </xf>
    <xf numFmtId="10" fontId="1" fillId="0" borderId="9" xfId="1" applyNumberFormat="1" applyFont="1" applyFill="1" applyBorder="1" applyAlignment="1">
      <alignment horizontal="center"/>
    </xf>
    <xf numFmtId="10" fontId="1" fillId="0" borderId="11" xfId="1" applyNumberFormat="1" applyFont="1" applyFill="1" applyBorder="1" applyAlignment="1">
      <alignment horizontal="center"/>
    </xf>
    <xf numFmtId="10" fontId="1" fillId="0" borderId="12" xfId="1" applyNumberFormat="1" applyFont="1" applyFill="1" applyBorder="1" applyAlignment="1">
      <alignment horizontal="center"/>
    </xf>
    <xf numFmtId="0" fontId="9" fillId="0" borderId="13" xfId="0" applyFont="1" applyFill="1" applyBorder="1" applyAlignment="1">
      <alignment horizontal="center"/>
    </xf>
    <xf numFmtId="10" fontId="1" fillId="0" borderId="14" xfId="1" applyNumberFormat="1" applyFont="1" applyFill="1" applyBorder="1" applyAlignment="1">
      <alignment horizontal="center"/>
    </xf>
    <xf numFmtId="10" fontId="1" fillId="0" borderId="15" xfId="1" applyNumberFormat="1" applyFont="1" applyFill="1" applyBorder="1" applyAlignment="1">
      <alignment horizontal="center"/>
    </xf>
    <xf numFmtId="10" fontId="1" fillId="0" borderId="23" xfId="1" applyNumberFormat="1" applyFont="1" applyFill="1" applyBorder="1" applyAlignment="1">
      <alignment horizontal="center"/>
    </xf>
    <xf numFmtId="10" fontId="1" fillId="0" borderId="25" xfId="1" applyNumberFormat="1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2" fillId="0" borderId="66" xfId="0" applyFont="1" applyFill="1" applyBorder="1" applyAlignment="1">
      <alignment horizontal="center" wrapText="1"/>
    </xf>
    <xf numFmtId="0" fontId="0" fillId="0" borderId="67" xfId="0" applyFont="1" applyFill="1" applyBorder="1" applyAlignment="1">
      <alignment horizontal="center" wrapText="1"/>
    </xf>
    <xf numFmtId="0" fontId="0" fillId="0" borderId="68" xfId="0" applyFont="1" applyFill="1" applyBorder="1" applyAlignment="1">
      <alignment horizontal="center" wrapText="1"/>
    </xf>
    <xf numFmtId="2" fontId="11" fillId="0" borderId="8" xfId="0" applyNumberFormat="1" applyFont="1" applyFill="1" applyBorder="1" applyAlignment="1">
      <alignment horizont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colors>
    <mruColors>
      <color rgb="FFCC99FF"/>
      <color rgb="FF99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ngb16/Documents/0_Manuscript/0_7942-Sucrose/BOF%20and%20MFA%20for%20Se7942_cscB__bw_202302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FiguresCoculture"/>
      <sheetName val="Metaoblites dictionary"/>
      <sheetName val="Media constraints"/>
      <sheetName val="Growth-Glycogen-Sucrose"/>
      <sheetName val="BOF_AA"/>
      <sheetName val="BOF_Carbohydrates"/>
      <sheetName val="BOF_Cofactors"/>
      <sheetName val="BOF_FAME"/>
      <sheetName val="BOF_Pigments"/>
      <sheetName val="BOF_DNA &amp; RNA"/>
      <sheetName val="BOF_Sucrose"/>
      <sheetName val="BOF_Composition Norm"/>
      <sheetName val="BOF_F"/>
      <sheetName val="MFA_02212022"/>
      <sheetName val="MFA_GS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1">
          <cell r="M11">
            <v>8.051501132737178E-2</v>
          </cell>
          <cell r="N11">
            <v>9.9575203476626753E-2</v>
          </cell>
          <cell r="O11">
            <v>8.934438513532808E-2</v>
          </cell>
        </row>
        <row r="19">
          <cell r="H19">
            <v>1.1193289206471025E-2</v>
          </cell>
          <cell r="I19">
            <v>2.7604388963387199</v>
          </cell>
          <cell r="J19">
            <v>0.35498346783439855</v>
          </cell>
        </row>
      </sheetData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opLeftCell="A13" workbookViewId="0">
      <selection activeCell="I16" sqref="I16"/>
    </sheetView>
  </sheetViews>
  <sheetFormatPr defaultRowHeight="14.5"/>
  <sheetData>
    <row r="1" spans="1:14" s="6" customFormat="1">
      <c r="A1" s="4"/>
      <c r="B1" s="4" t="s">
        <v>72</v>
      </c>
      <c r="C1" s="4"/>
      <c r="D1" s="4"/>
      <c r="E1" s="4"/>
      <c r="F1" s="4" t="s">
        <v>297</v>
      </c>
      <c r="G1" s="4"/>
      <c r="H1" s="4"/>
      <c r="I1" s="4"/>
      <c r="J1" s="4" t="s">
        <v>75</v>
      </c>
      <c r="K1" s="4" t="s">
        <v>235</v>
      </c>
      <c r="L1" s="383" t="s">
        <v>236</v>
      </c>
      <c r="M1" s="384"/>
      <c r="N1" s="385"/>
    </row>
    <row r="2" spans="1:14">
      <c r="A2" s="4" t="s">
        <v>237</v>
      </c>
      <c r="B2" s="4">
        <v>7942</v>
      </c>
      <c r="C2" s="4" t="s">
        <v>302</v>
      </c>
      <c r="D2" s="4" t="s">
        <v>214</v>
      </c>
      <c r="E2" s="4"/>
      <c r="F2" s="4">
        <v>7942</v>
      </c>
      <c r="G2" s="4" t="s">
        <v>302</v>
      </c>
      <c r="H2" s="4" t="s">
        <v>214</v>
      </c>
      <c r="I2" s="1"/>
      <c r="J2" s="1"/>
      <c r="K2" s="1"/>
      <c r="L2" s="4">
        <v>7942</v>
      </c>
      <c r="M2" s="4" t="s">
        <v>302</v>
      </c>
      <c r="N2" s="4" t="s">
        <v>214</v>
      </c>
    </row>
    <row r="3" spans="1:14">
      <c r="A3" s="3" t="s">
        <v>1</v>
      </c>
      <c r="B3" s="1">
        <v>541.09992549567437</v>
      </c>
      <c r="C3" s="1">
        <v>444.74419193943856</v>
      </c>
      <c r="D3" s="1">
        <v>524.83843820902075</v>
      </c>
      <c r="E3" s="1"/>
      <c r="F3" s="1">
        <v>18.115082588342808</v>
      </c>
      <c r="G3" s="1">
        <v>7.5676832812303481</v>
      </c>
      <c r="H3" s="1">
        <v>45.685899461398108</v>
      </c>
      <c r="I3" s="1"/>
      <c r="J3" s="1">
        <v>89.1</v>
      </c>
      <c r="K3" s="1">
        <f>J3-18</f>
        <v>71.099999999999994</v>
      </c>
      <c r="L3" s="1">
        <f>$K3*B3/1000000</f>
        <v>3.8472204702742444E-2</v>
      </c>
      <c r="M3" s="1">
        <f t="shared" ref="M3:N20" si="0">$K3*C3/1000000</f>
        <v>3.1621312046894078E-2</v>
      </c>
      <c r="N3" s="1">
        <f t="shared" si="0"/>
        <v>3.7316012956661378E-2</v>
      </c>
    </row>
    <row r="4" spans="1:14">
      <c r="A4" s="3" t="s">
        <v>2</v>
      </c>
      <c r="B4" s="1">
        <v>336.32504200282483</v>
      </c>
      <c r="C4" s="1">
        <v>292.15903445477346</v>
      </c>
      <c r="D4" s="1">
        <v>316.99440414097711</v>
      </c>
      <c r="E4" s="1"/>
      <c r="F4" s="1">
        <v>35.604968966530741</v>
      </c>
      <c r="G4" s="1">
        <v>10.859887792109648</v>
      </c>
      <c r="H4" s="1">
        <v>35.202990480479357</v>
      </c>
      <c r="I4" s="1"/>
      <c r="J4" s="1">
        <v>174.2</v>
      </c>
      <c r="K4" s="1">
        <f t="shared" ref="K4:K20" si="1">J4-18</f>
        <v>156.19999999999999</v>
      </c>
      <c r="L4" s="1">
        <f t="shared" ref="L4:L20" si="2">$K4*B4/1000000</f>
        <v>5.253397156084124E-2</v>
      </c>
      <c r="M4" s="1">
        <f t="shared" si="0"/>
        <v>4.5635241181835609E-2</v>
      </c>
      <c r="N4" s="1">
        <f t="shared" si="0"/>
        <v>4.9514525926820624E-2</v>
      </c>
    </row>
    <row r="5" spans="1:14">
      <c r="A5" s="3" t="s">
        <v>240</v>
      </c>
      <c r="B5" s="1">
        <v>501.28609836885391</v>
      </c>
      <c r="C5" s="1">
        <v>432.60245655279289</v>
      </c>
      <c r="D5" s="1">
        <v>500.50924647372938</v>
      </c>
      <c r="E5" s="1"/>
      <c r="F5" s="1">
        <v>25.25489184784432</v>
      </c>
      <c r="G5" s="1">
        <v>8.894501751253177</v>
      </c>
      <c r="H5" s="1">
        <v>18.278374881595724</v>
      </c>
      <c r="I5" s="1"/>
      <c r="J5" s="1">
        <v>133.1</v>
      </c>
      <c r="K5" s="1">
        <f t="shared" si="1"/>
        <v>115.1</v>
      </c>
      <c r="L5" s="1">
        <f t="shared" si="2"/>
        <v>5.7698029922255083E-2</v>
      </c>
      <c r="M5" s="1">
        <f t="shared" si="0"/>
        <v>4.9792542749226454E-2</v>
      </c>
      <c r="N5" s="1">
        <f t="shared" si="0"/>
        <v>5.7608614269126251E-2</v>
      </c>
    </row>
    <row r="6" spans="1:14">
      <c r="A6" s="24" t="s">
        <v>242</v>
      </c>
      <c r="B6" s="24">
        <f>0.0458/0.525*B11</f>
        <v>40.032221682251688</v>
      </c>
      <c r="C6" s="24">
        <f>0.0458/0.525*C11</f>
        <v>31.651927344218766</v>
      </c>
      <c r="D6" s="24">
        <f>0.0458/0.525*D11</f>
        <v>38.027105793842018</v>
      </c>
      <c r="E6" s="1"/>
      <c r="F6" s="1"/>
      <c r="G6" s="1"/>
      <c r="H6" s="1"/>
      <c r="I6" s="1"/>
      <c r="J6" s="1">
        <v>121.2</v>
      </c>
      <c r="K6" s="1">
        <f>J6-18</f>
        <v>103.2</v>
      </c>
      <c r="L6" s="1">
        <f>$K6*B6/1000000</f>
        <v>4.1313252776083746E-3</v>
      </c>
      <c r="M6" s="1">
        <f>$K6*C6/1000000</f>
        <v>3.2664789019233769E-3</v>
      </c>
      <c r="N6" s="1">
        <f>$K6*D6/1000000</f>
        <v>3.9243973179244962E-3</v>
      </c>
    </row>
    <row r="7" spans="1:14">
      <c r="A7" s="3" t="s">
        <v>241</v>
      </c>
      <c r="B7" s="1">
        <v>536.78290562644588</v>
      </c>
      <c r="C7" s="1">
        <v>485.27640686633498</v>
      </c>
      <c r="D7" s="1">
        <v>550.62443424744026</v>
      </c>
      <c r="E7" s="1"/>
      <c r="F7" s="1">
        <v>40.490568091418623</v>
      </c>
      <c r="G7" s="1">
        <v>8.1047824815674687</v>
      </c>
      <c r="H7" s="1">
        <v>19.049040324313783</v>
      </c>
      <c r="I7" s="1"/>
      <c r="J7" s="1">
        <v>147.1</v>
      </c>
      <c r="K7" s="1">
        <f t="shared" si="1"/>
        <v>129.1</v>
      </c>
      <c r="L7" s="1">
        <f t="shared" si="2"/>
        <v>6.9298673116374165E-2</v>
      </c>
      <c r="M7" s="1">
        <f t="shared" si="0"/>
        <v>6.2649184126443838E-2</v>
      </c>
      <c r="N7" s="1">
        <f t="shared" si="0"/>
        <v>7.1085614461344537E-2</v>
      </c>
    </row>
    <row r="8" spans="1:14">
      <c r="A8" s="3" t="s">
        <v>8</v>
      </c>
      <c r="B8" s="1">
        <v>335.27979802592847</v>
      </c>
      <c r="C8" s="1">
        <v>262.98172660760099</v>
      </c>
      <c r="D8" s="1">
        <v>294.32353071888485</v>
      </c>
      <c r="E8" s="1"/>
      <c r="F8" s="1">
        <v>17.922143607107358</v>
      </c>
      <c r="G8" s="1">
        <v>15.824825303446756</v>
      </c>
      <c r="H8" s="1">
        <v>35.374432882327767</v>
      </c>
      <c r="I8" s="1"/>
      <c r="J8" s="1">
        <v>75.099999999999994</v>
      </c>
      <c r="K8" s="1">
        <f t="shared" si="1"/>
        <v>57.099999999999994</v>
      </c>
      <c r="L8" s="1">
        <f t="shared" si="2"/>
        <v>1.9144476467280513E-2</v>
      </c>
      <c r="M8" s="1">
        <f t="shared" si="0"/>
        <v>1.5016256589294015E-2</v>
      </c>
      <c r="N8" s="1">
        <f t="shared" si="0"/>
        <v>1.6805873604048324E-2</v>
      </c>
    </row>
    <row r="9" spans="1:14">
      <c r="A9" s="3" t="s">
        <v>9</v>
      </c>
      <c r="B9" s="1">
        <v>107.32159309915744</v>
      </c>
      <c r="C9" s="1">
        <v>101.76511730031535</v>
      </c>
      <c r="D9" s="1">
        <v>117.64406319228296</v>
      </c>
      <c r="E9" s="1"/>
      <c r="F9" s="1">
        <v>0.51978383719252452</v>
      </c>
      <c r="G9" s="1">
        <v>1.8471273623394751</v>
      </c>
      <c r="H9" s="1">
        <v>9.3662378717608892</v>
      </c>
      <c r="I9" s="1"/>
      <c r="J9" s="1">
        <v>155.19999999999999</v>
      </c>
      <c r="K9" s="1">
        <f t="shared" si="1"/>
        <v>137.19999999999999</v>
      </c>
      <c r="L9" s="1">
        <f t="shared" si="2"/>
        <v>1.4724522573204399E-2</v>
      </c>
      <c r="M9" s="1">
        <f t="shared" si="0"/>
        <v>1.3962174093603265E-2</v>
      </c>
      <c r="N9" s="1">
        <f t="shared" si="0"/>
        <v>1.6140765469981222E-2</v>
      </c>
    </row>
    <row r="10" spans="1:14">
      <c r="A10" s="3" t="s">
        <v>10</v>
      </c>
      <c r="B10" s="1">
        <v>299.77624660127572</v>
      </c>
      <c r="C10" s="1">
        <v>248.97094382960461</v>
      </c>
      <c r="D10" s="1">
        <v>287.41815175887427</v>
      </c>
      <c r="E10" s="1"/>
      <c r="F10" s="1">
        <v>10.523822586889482</v>
      </c>
      <c r="G10" s="1">
        <v>3.0487953481771664</v>
      </c>
      <c r="H10" s="1">
        <v>15.290890152581742</v>
      </c>
      <c r="I10" s="1"/>
      <c r="J10" s="1">
        <v>131.19999999999999</v>
      </c>
      <c r="K10" s="1">
        <f t="shared" si="1"/>
        <v>113.19999999999999</v>
      </c>
      <c r="L10" s="1">
        <f t="shared" si="2"/>
        <v>3.3934671115264409E-2</v>
      </c>
      <c r="M10" s="1">
        <f t="shared" si="0"/>
        <v>2.8183510841511238E-2</v>
      </c>
      <c r="N10" s="1">
        <f t="shared" si="0"/>
        <v>3.2535734779104562E-2</v>
      </c>
    </row>
    <row r="11" spans="1:14">
      <c r="A11" s="3" t="s">
        <v>11</v>
      </c>
      <c r="B11" s="1">
        <v>458.88463718738285</v>
      </c>
      <c r="C11" s="1">
        <v>362.8223112601496</v>
      </c>
      <c r="D11" s="1">
        <v>435.90023016958645</v>
      </c>
      <c r="E11" s="1"/>
      <c r="F11" s="1">
        <v>5.0984835955678518</v>
      </c>
      <c r="G11" s="1">
        <v>7.5690971545574195</v>
      </c>
      <c r="H11" s="1">
        <v>17.177767547324471</v>
      </c>
      <c r="I11" s="1"/>
      <c r="J11" s="1">
        <v>131.19999999999999</v>
      </c>
      <c r="K11" s="1">
        <f t="shared" si="1"/>
        <v>113.19999999999999</v>
      </c>
      <c r="L11" s="1">
        <f t="shared" si="2"/>
        <v>5.1945740929611732E-2</v>
      </c>
      <c r="M11" s="1">
        <f t="shared" si="0"/>
        <v>4.1071485634648935E-2</v>
      </c>
      <c r="N11" s="1">
        <f t="shared" si="0"/>
        <v>4.934390605519718E-2</v>
      </c>
    </row>
    <row r="12" spans="1:14">
      <c r="A12" s="3" t="s">
        <v>12</v>
      </c>
      <c r="B12" s="1">
        <v>304.78251833971302</v>
      </c>
      <c r="C12" s="1">
        <v>237.16788026419917</v>
      </c>
      <c r="D12" s="1">
        <v>268.63806631573414</v>
      </c>
      <c r="E12" s="1"/>
      <c r="F12" s="1">
        <v>7.6523903397961019</v>
      </c>
      <c r="G12" s="1">
        <v>22.988555648089637</v>
      </c>
      <c r="H12" s="1">
        <v>35.392676057084991</v>
      </c>
      <c r="I12" s="1"/>
      <c r="J12" s="1">
        <v>146.19999999999999</v>
      </c>
      <c r="K12" s="1">
        <f t="shared" si="1"/>
        <v>128.19999999999999</v>
      </c>
      <c r="L12" s="1">
        <f t="shared" si="2"/>
        <v>3.9073118851151209E-2</v>
      </c>
      <c r="M12" s="1">
        <f t="shared" si="0"/>
        <v>3.040492224987033E-2</v>
      </c>
      <c r="N12" s="1">
        <f t="shared" si="0"/>
        <v>3.4439400101677113E-2</v>
      </c>
    </row>
    <row r="13" spans="1:14">
      <c r="A13" s="3" t="s">
        <v>13</v>
      </c>
      <c r="B13" s="1">
        <f>0.0903/0.525*B11</f>
        <v>78.928157596229852</v>
      </c>
      <c r="C13" s="1">
        <f t="shared" ref="C13:D13" si="3">0.0903/0.525*C11</f>
        <v>62.405437536745737</v>
      </c>
      <c r="D13" s="1">
        <f t="shared" si="3"/>
        <v>74.97483958916888</v>
      </c>
      <c r="E13" s="1"/>
      <c r="F13" s="1">
        <v>8.6157204196394041E-2</v>
      </c>
      <c r="G13" s="1">
        <v>5.4002221752377878E-2</v>
      </c>
      <c r="H13" s="1">
        <v>3.5250545180445085</v>
      </c>
      <c r="I13" s="1"/>
      <c r="J13" s="1">
        <v>149.19999999999999</v>
      </c>
      <c r="K13" s="1">
        <f t="shared" si="1"/>
        <v>131.19999999999999</v>
      </c>
      <c r="L13" s="1">
        <f t="shared" si="2"/>
        <v>1.0355374276625357E-2</v>
      </c>
      <c r="M13" s="1">
        <f t="shared" si="0"/>
        <v>8.1875934048210395E-3</v>
      </c>
      <c r="N13" s="1">
        <f t="shared" si="0"/>
        <v>9.8366989540989557E-3</v>
      </c>
    </row>
    <row r="14" spans="1:14">
      <c r="A14" s="3" t="s">
        <v>14</v>
      </c>
      <c r="B14" s="1">
        <v>232.87732884026127</v>
      </c>
      <c r="C14" s="1">
        <v>200.77143101823532</v>
      </c>
      <c r="D14" s="1">
        <v>229.67375302534748</v>
      </c>
      <c r="E14" s="1"/>
      <c r="F14" s="1">
        <v>20.948360829029198</v>
      </c>
      <c r="G14" s="1">
        <v>2.5007023383419824</v>
      </c>
      <c r="H14" s="1">
        <v>6.0850101598717252</v>
      </c>
      <c r="I14" s="1"/>
      <c r="J14" s="1">
        <v>165.2</v>
      </c>
      <c r="K14" s="1">
        <f t="shared" si="1"/>
        <v>147.19999999999999</v>
      </c>
      <c r="L14" s="1">
        <f t="shared" si="2"/>
        <v>3.4279542805286459E-2</v>
      </c>
      <c r="M14" s="1">
        <f t="shared" si="0"/>
        <v>2.9553554645884238E-2</v>
      </c>
      <c r="N14" s="1">
        <f t="shared" si="0"/>
        <v>3.3807976445331143E-2</v>
      </c>
    </row>
    <row r="15" spans="1:14">
      <c r="A15" s="3" t="s">
        <v>15</v>
      </c>
      <c r="B15" s="1">
        <v>323.70851878539867</v>
      </c>
      <c r="C15" s="1">
        <v>258.95015484231521</v>
      </c>
      <c r="D15" s="1">
        <v>311.68075955207485</v>
      </c>
      <c r="E15" s="1"/>
      <c r="F15" s="1">
        <v>14.158173378871027</v>
      </c>
      <c r="G15" s="1">
        <v>17.500006270282256</v>
      </c>
      <c r="H15" s="1">
        <v>19.288787761667255</v>
      </c>
      <c r="I15" s="1"/>
      <c r="J15" s="1">
        <v>115.1</v>
      </c>
      <c r="K15" s="1">
        <f t="shared" si="1"/>
        <v>97.1</v>
      </c>
      <c r="L15" s="1">
        <f t="shared" si="2"/>
        <v>3.1432097174062208E-2</v>
      </c>
      <c r="M15" s="1">
        <f t="shared" si="0"/>
        <v>2.5144060035188806E-2</v>
      </c>
      <c r="N15" s="1">
        <f t="shared" si="0"/>
        <v>3.0264201752506464E-2</v>
      </c>
    </row>
    <row r="16" spans="1:14">
      <c r="A16" s="3" t="s">
        <v>16</v>
      </c>
      <c r="B16" s="1">
        <v>293.50369408884501</v>
      </c>
      <c r="C16" s="1">
        <v>247.00566942382184</v>
      </c>
      <c r="D16" s="1">
        <v>294.48856132394178</v>
      </c>
      <c r="E16" s="1"/>
      <c r="F16" s="1">
        <v>21.525829211103662</v>
      </c>
      <c r="G16" s="1">
        <v>3.4602164832947033</v>
      </c>
      <c r="H16" s="1">
        <v>22.852397904976755</v>
      </c>
      <c r="I16" s="1"/>
      <c r="J16" s="1">
        <v>105.1</v>
      </c>
      <c r="K16" s="1">
        <f t="shared" si="1"/>
        <v>87.1</v>
      </c>
      <c r="L16" s="1">
        <f t="shared" si="2"/>
        <v>2.55641717551384E-2</v>
      </c>
      <c r="M16" s="1">
        <f t="shared" si="0"/>
        <v>2.151419380681488E-2</v>
      </c>
      <c r="N16" s="1">
        <f t="shared" si="0"/>
        <v>2.5649953691315328E-2</v>
      </c>
    </row>
    <row r="17" spans="1:14">
      <c r="A17" s="3" t="s">
        <v>17</v>
      </c>
      <c r="B17" s="1">
        <v>216.09338868969877</v>
      </c>
      <c r="C17" s="1">
        <v>161.32759409733336</v>
      </c>
      <c r="D17" s="1">
        <v>181.44460871668684</v>
      </c>
      <c r="E17" s="1"/>
      <c r="F17" s="1">
        <v>25.600957117238309</v>
      </c>
      <c r="G17" s="1">
        <v>21.395524325773454</v>
      </c>
      <c r="H17" s="1">
        <v>8.1771252552658975</v>
      </c>
      <c r="I17" s="1"/>
      <c r="J17" s="1">
        <v>119.1</v>
      </c>
      <c r="K17" s="1">
        <f t="shared" si="1"/>
        <v>101.1</v>
      </c>
      <c r="L17" s="1">
        <f t="shared" si="2"/>
        <v>2.1847041596528543E-2</v>
      </c>
      <c r="M17" s="1">
        <f t="shared" si="0"/>
        <v>1.6310219763240402E-2</v>
      </c>
      <c r="N17" s="1">
        <f t="shared" si="0"/>
        <v>1.8344049941257039E-2</v>
      </c>
    </row>
    <row r="18" spans="1:14">
      <c r="A18" s="24" t="s">
        <v>243</v>
      </c>
      <c r="B18" s="24">
        <f>0.0713/0.525*B11</f>
        <v>62.320904059924558</v>
      </c>
      <c r="C18" s="24">
        <f>0.0713/0.525*C11</f>
        <v>49.274725319711742</v>
      </c>
      <c r="D18" s="24">
        <f>0.0713/0.525*D11</f>
        <v>59.199402687793352</v>
      </c>
      <c r="E18" s="1"/>
      <c r="F18" s="1"/>
      <c r="G18" s="1"/>
      <c r="H18" s="1"/>
      <c r="I18" s="1"/>
      <c r="J18" s="1">
        <v>204.2</v>
      </c>
      <c r="K18" s="1">
        <f>J18-18</f>
        <v>186.2</v>
      </c>
      <c r="L18" s="1">
        <f>$K18*B18/1000000</f>
        <v>1.1604152335957952E-2</v>
      </c>
      <c r="M18" s="1">
        <f>$K18*C18/1000000</f>
        <v>9.1749538545303263E-3</v>
      </c>
      <c r="N18" s="1">
        <f>$K18*D18/1000000</f>
        <v>1.1022928780467123E-2</v>
      </c>
    </row>
    <row r="19" spans="1:14">
      <c r="A19" s="3" t="s">
        <v>19</v>
      </c>
      <c r="B19" s="1">
        <v>125.05481128770978</v>
      </c>
      <c r="C19" s="1">
        <v>104.23233234642022</v>
      </c>
      <c r="D19" s="1">
        <v>126.97420111259515</v>
      </c>
      <c r="E19" s="1"/>
      <c r="F19" s="1">
        <v>14.427610938168122</v>
      </c>
      <c r="G19" s="1">
        <v>6.6607779403277307</v>
      </c>
      <c r="H19" s="1">
        <v>5.9538432536649601</v>
      </c>
      <c r="I19" s="1"/>
      <c r="J19" s="1">
        <v>181.2</v>
      </c>
      <c r="K19" s="1">
        <f t="shared" si="1"/>
        <v>163.19999999999999</v>
      </c>
      <c r="L19" s="1">
        <f t="shared" si="2"/>
        <v>2.0408945202154236E-2</v>
      </c>
      <c r="M19" s="1">
        <f t="shared" si="0"/>
        <v>1.7010716638935781E-2</v>
      </c>
      <c r="N19" s="1">
        <f t="shared" si="0"/>
        <v>2.0722189621575526E-2</v>
      </c>
    </row>
    <row r="20" spans="1:14">
      <c r="A20" s="3" t="s">
        <v>20</v>
      </c>
      <c r="B20" s="1">
        <v>325.75757876032674</v>
      </c>
      <c r="C20" s="1">
        <v>262.83367771490379</v>
      </c>
      <c r="D20" s="1">
        <v>310.01210871532709</v>
      </c>
      <c r="E20" s="1"/>
      <c r="F20" s="1">
        <v>5.9447984946062267</v>
      </c>
      <c r="G20" s="1">
        <v>5.2337954364270018</v>
      </c>
      <c r="H20" s="1">
        <v>13.675821083308067</v>
      </c>
      <c r="I20" s="1"/>
      <c r="J20" s="1">
        <v>117.1</v>
      </c>
      <c r="K20" s="1">
        <f t="shared" si="1"/>
        <v>99.1</v>
      </c>
      <c r="L20" s="1">
        <f t="shared" si="2"/>
        <v>3.2282576055148379E-2</v>
      </c>
      <c r="M20" s="1">
        <f t="shared" si="0"/>
        <v>2.6046817461546964E-2</v>
      </c>
      <c r="N20" s="1">
        <f t="shared" si="0"/>
        <v>3.0722199973688913E-2</v>
      </c>
    </row>
    <row r="21" spans="1:14">
      <c r="A21" s="5" t="s">
        <v>230</v>
      </c>
      <c r="B21" s="1"/>
      <c r="C21" s="1"/>
      <c r="D21" s="1"/>
      <c r="E21" s="1"/>
      <c r="F21" s="1"/>
      <c r="G21" s="1"/>
      <c r="H21" s="1"/>
      <c r="I21" s="1"/>
      <c r="J21" s="1" t="s">
        <v>245</v>
      </c>
      <c r="K21" s="1"/>
      <c r="L21" s="239">
        <f>SUM(L3:L20)</f>
        <v>0.56873063571723503</v>
      </c>
      <c r="M21" s="239">
        <f>SUM(M3:M20)</f>
        <v>0.47454521802621369</v>
      </c>
      <c r="N21" s="239">
        <f>SUM(N3:N20)</f>
        <v>0.54908504410212622</v>
      </c>
    </row>
    <row r="22" spans="1:14">
      <c r="J22" s="66"/>
      <c r="K22" s="65"/>
      <c r="L22" s="236"/>
      <c r="M22" s="236"/>
      <c r="N22" s="236"/>
    </row>
    <row r="23" spans="1:14">
      <c r="A23" t="s">
        <v>239</v>
      </c>
    </row>
    <row r="24" spans="1:14">
      <c r="A24" t="s">
        <v>244</v>
      </c>
    </row>
    <row r="26" spans="1:14" ht="15" thickBot="1"/>
    <row r="27" spans="1:14">
      <c r="A27" s="16" t="s">
        <v>0</v>
      </c>
      <c r="B27" s="17"/>
      <c r="C27" s="17"/>
      <c r="D27" s="18"/>
    </row>
    <row r="28" spans="1:14">
      <c r="A28" s="20"/>
      <c r="B28" s="4">
        <v>7942</v>
      </c>
      <c r="C28" s="4" t="s">
        <v>302</v>
      </c>
      <c r="D28" s="55" t="s">
        <v>214</v>
      </c>
      <c r="F28" s="41"/>
      <c r="G28" s="41"/>
      <c r="H28" s="41"/>
      <c r="I28" s="41"/>
      <c r="J28" s="41"/>
      <c r="K28" s="41"/>
      <c r="L28" s="41"/>
      <c r="M28" s="41"/>
      <c r="N28" s="41"/>
    </row>
    <row r="29" spans="1:14">
      <c r="A29" s="235" t="s">
        <v>1</v>
      </c>
      <c r="B29" s="1">
        <f>B3/1000/L$21</f>
        <v>0.95141687736459779</v>
      </c>
      <c r="C29" s="1">
        <f t="shared" ref="C29:D30" si="4">C3/1000/M$21</f>
        <v>0.93720087158242327</v>
      </c>
      <c r="D29" s="21">
        <f t="shared" si="4"/>
        <v>0.955841802370061</v>
      </c>
      <c r="F29" s="237"/>
      <c r="G29" s="41"/>
      <c r="H29" s="41"/>
      <c r="I29" s="41"/>
      <c r="J29" s="41"/>
      <c r="K29" s="41"/>
      <c r="L29" s="41"/>
      <c r="M29" s="41"/>
      <c r="N29" s="41"/>
    </row>
    <row r="30" spans="1:14">
      <c r="A30" s="235" t="s">
        <v>2</v>
      </c>
      <c r="B30" s="1">
        <f t="shared" ref="B30" si="5">B4/1000/L$21</f>
        <v>0.59136086730879212</v>
      </c>
      <c r="C30" s="1">
        <f t="shared" si="4"/>
        <v>0.61566110742819613</v>
      </c>
      <c r="D30" s="21">
        <f t="shared" si="4"/>
        <v>0.57731385610644725</v>
      </c>
      <c r="F30" s="237"/>
      <c r="G30" s="41"/>
      <c r="H30" s="41"/>
      <c r="I30" s="41"/>
      <c r="J30" s="41"/>
      <c r="K30" s="41"/>
      <c r="L30" s="41"/>
      <c r="M30" s="41"/>
      <c r="N30" s="41"/>
    </row>
    <row r="31" spans="1:14">
      <c r="A31" s="235" t="s">
        <v>3</v>
      </c>
      <c r="B31" s="1">
        <f>B5/1000/L$21/2</f>
        <v>0.44070608024893393</v>
      </c>
      <c r="C31" s="1">
        <f t="shared" ref="C31:D31" si="6">C5/1000/M$21/2</f>
        <v>0.4558074132030302</v>
      </c>
      <c r="D31" s="21">
        <f t="shared" si="6"/>
        <v>0.45576659922705703</v>
      </c>
      <c r="F31" s="237"/>
      <c r="G31" s="41"/>
      <c r="H31" s="41"/>
      <c r="I31" s="41"/>
      <c r="J31" s="41"/>
      <c r="K31" s="41"/>
      <c r="L31" s="41"/>
      <c r="M31" s="41"/>
      <c r="N31" s="41"/>
    </row>
    <row r="32" spans="1:14">
      <c r="A32" s="235" t="s">
        <v>4</v>
      </c>
      <c r="B32" s="1">
        <f>B5/1000/L$21/2</f>
        <v>0.44070608024893393</v>
      </c>
      <c r="C32" s="1">
        <f t="shared" ref="C32:D32" si="7">C5/1000/M$21/2</f>
        <v>0.4558074132030302</v>
      </c>
      <c r="D32" s="21">
        <f t="shared" si="7"/>
        <v>0.45576659922705703</v>
      </c>
      <c r="F32" s="237"/>
      <c r="G32" s="41"/>
      <c r="H32" s="41"/>
      <c r="I32" s="41"/>
      <c r="J32" s="41"/>
      <c r="K32" s="41"/>
      <c r="L32" s="41"/>
      <c r="M32" s="41"/>
      <c r="N32" s="41"/>
    </row>
    <row r="33" spans="1:14">
      <c r="A33" s="235" t="s">
        <v>5</v>
      </c>
      <c r="B33" s="12">
        <f>B6/1000/L$21</f>
        <v>7.0388720368063928E-2</v>
      </c>
      <c r="C33" s="12">
        <f t="shared" ref="C33:D33" si="8">C6/1000/M$21</f>
        <v>6.6699496996027743E-2</v>
      </c>
      <c r="D33" s="240">
        <f t="shared" si="8"/>
        <v>6.9255402605300651E-2</v>
      </c>
      <c r="F33" s="237"/>
      <c r="G33" s="41"/>
      <c r="H33" s="41"/>
      <c r="I33" s="41"/>
      <c r="J33" s="41"/>
      <c r="K33" s="41"/>
      <c r="L33" s="41"/>
      <c r="M33" s="41"/>
      <c r="N33" s="41"/>
    </row>
    <row r="34" spans="1:14">
      <c r="A34" s="235" t="s">
        <v>6</v>
      </c>
      <c r="B34" s="12">
        <f>B7/1000/L$21/2</f>
        <v>0.47191312716036538</v>
      </c>
      <c r="C34" s="12">
        <f t="shared" ref="C34:D34" si="9">C7/1000/M$21/2</f>
        <v>0.5113068138003326</v>
      </c>
      <c r="D34" s="240">
        <f t="shared" si="9"/>
        <v>0.50140177752230641</v>
      </c>
      <c r="F34" s="237"/>
      <c r="G34" s="41"/>
      <c r="H34" s="41"/>
      <c r="I34" s="41"/>
      <c r="J34" s="41"/>
      <c r="K34" s="41"/>
      <c r="L34" s="41"/>
      <c r="M34" s="41"/>
      <c r="N34" s="41"/>
    </row>
    <row r="35" spans="1:14">
      <c r="A35" s="235" t="s">
        <v>7</v>
      </c>
      <c r="B35" s="1">
        <f>B7/1000/L$21/2</f>
        <v>0.47191312716036538</v>
      </c>
      <c r="C35" s="1">
        <f t="shared" ref="C35:D35" si="10">C7/1000/M$21/2</f>
        <v>0.5113068138003326</v>
      </c>
      <c r="D35" s="21">
        <f t="shared" si="10"/>
        <v>0.50140177752230641</v>
      </c>
      <c r="F35" s="237"/>
      <c r="G35" s="41"/>
      <c r="H35" s="41"/>
      <c r="I35" s="41"/>
      <c r="J35" s="41"/>
      <c r="K35" s="41"/>
      <c r="L35" s="41"/>
      <c r="M35" s="41"/>
      <c r="N35" s="41"/>
    </row>
    <row r="36" spans="1:14">
      <c r="A36" s="235" t="s">
        <v>8</v>
      </c>
      <c r="B36" s="12">
        <f>B8/1000/L$21</f>
        <v>0.58952301312747446</v>
      </c>
      <c r="C36" s="12">
        <f t="shared" ref="C36:D48" si="11">C8/1000/M$21</f>
        <v>0.55417632844647902</v>
      </c>
      <c r="D36" s="240">
        <f t="shared" si="11"/>
        <v>0.53602540058283321</v>
      </c>
      <c r="F36" s="238"/>
      <c r="G36" s="41"/>
      <c r="H36" s="41"/>
      <c r="I36" s="41"/>
      <c r="J36" s="41"/>
      <c r="K36" s="41"/>
      <c r="L36" s="41"/>
      <c r="M36" s="41"/>
      <c r="N36" s="41"/>
    </row>
    <row r="37" spans="1:14">
      <c r="A37" s="235" t="s">
        <v>9</v>
      </c>
      <c r="B37" s="12">
        <f t="shared" ref="B37:B48" si="12">B9/1000/L$21</f>
        <v>0.18870373136100277</v>
      </c>
      <c r="C37" s="12">
        <f t="shared" si="11"/>
        <v>0.21444767207557003</v>
      </c>
      <c r="D37" s="240">
        <f t="shared" si="11"/>
        <v>0.21425472147881328</v>
      </c>
      <c r="F37" s="238"/>
      <c r="G37" s="41"/>
      <c r="H37" s="41"/>
      <c r="I37" s="41"/>
      <c r="J37" s="41"/>
      <c r="K37" s="41"/>
      <c r="L37" s="41"/>
      <c r="M37" s="41"/>
      <c r="N37" s="41"/>
    </row>
    <row r="38" spans="1:14">
      <c r="A38" s="235" t="s">
        <v>10</v>
      </c>
      <c r="B38" s="12">
        <f t="shared" si="12"/>
        <v>0.52709706102472087</v>
      </c>
      <c r="C38" s="12">
        <f t="shared" si="11"/>
        <v>0.52465167569310867</v>
      </c>
      <c r="D38" s="240">
        <f t="shared" si="11"/>
        <v>0.52344924496871992</v>
      </c>
      <c r="F38" s="237"/>
      <c r="G38" s="41"/>
      <c r="H38" s="41"/>
      <c r="I38" s="41"/>
      <c r="J38" s="41"/>
      <c r="K38" s="41"/>
      <c r="L38" s="41"/>
      <c r="M38" s="41"/>
      <c r="N38" s="41"/>
    </row>
    <row r="39" spans="1:14">
      <c r="A39" s="235" t="s">
        <v>11</v>
      </c>
      <c r="B39" s="12">
        <f t="shared" si="12"/>
        <v>0.8068576024723485</v>
      </c>
      <c r="C39" s="12">
        <f t="shared" si="11"/>
        <v>0.76456846993263228</v>
      </c>
      <c r="D39" s="240">
        <f t="shared" si="11"/>
        <v>0.79386651458041146</v>
      </c>
      <c r="F39" s="237"/>
      <c r="G39" s="41"/>
      <c r="H39" s="41"/>
      <c r="I39" s="41"/>
      <c r="J39" s="41"/>
      <c r="K39" s="41"/>
      <c r="L39" s="41"/>
      <c r="M39" s="41"/>
      <c r="N39" s="41"/>
    </row>
    <row r="40" spans="1:14">
      <c r="A40" s="235" t="s">
        <v>12</v>
      </c>
      <c r="B40" s="12">
        <f t="shared" si="12"/>
        <v>0.53589959674907806</v>
      </c>
      <c r="C40" s="12">
        <f t="shared" si="11"/>
        <v>0.49977930712410656</v>
      </c>
      <c r="D40" s="240">
        <f t="shared" si="11"/>
        <v>0.48924673727913304</v>
      </c>
      <c r="F40" s="237"/>
      <c r="G40" s="41"/>
      <c r="H40" s="41"/>
      <c r="I40" s="41"/>
      <c r="J40" s="41"/>
      <c r="K40" s="41"/>
      <c r="L40" s="41"/>
      <c r="M40" s="41"/>
      <c r="N40" s="41"/>
    </row>
    <row r="41" spans="1:14">
      <c r="A41" s="235" t="s">
        <v>13</v>
      </c>
      <c r="B41" s="12">
        <f t="shared" si="12"/>
        <v>0.13877950762524394</v>
      </c>
      <c r="C41" s="12">
        <f t="shared" si="11"/>
        <v>0.13150577682841277</v>
      </c>
      <c r="D41" s="240">
        <f t="shared" si="11"/>
        <v>0.13654504050783078</v>
      </c>
      <c r="F41" s="237"/>
      <c r="G41" s="41"/>
      <c r="H41" s="41"/>
      <c r="I41" s="41"/>
      <c r="J41" s="41"/>
      <c r="K41" s="41"/>
      <c r="L41" s="41"/>
      <c r="M41" s="41"/>
      <c r="N41" s="41"/>
    </row>
    <row r="42" spans="1:14">
      <c r="A42" s="235" t="s">
        <v>14</v>
      </c>
      <c r="B42" s="12">
        <f t="shared" si="12"/>
        <v>0.40946858532875774</v>
      </c>
      <c r="C42" s="12">
        <f t="shared" si="11"/>
        <v>0.4230817704860842</v>
      </c>
      <c r="D42" s="240">
        <f t="shared" si="11"/>
        <v>0.41828448159777171</v>
      </c>
      <c r="F42" s="237"/>
      <c r="G42" s="41"/>
      <c r="H42" s="41"/>
      <c r="I42" s="41"/>
      <c r="J42" s="41"/>
      <c r="K42" s="41"/>
      <c r="L42" s="41"/>
      <c r="M42" s="41"/>
      <c r="N42" s="41"/>
    </row>
    <row r="43" spans="1:14">
      <c r="A43" s="235" t="s">
        <v>15</v>
      </c>
      <c r="B43" s="12">
        <f t="shared" si="12"/>
        <v>0.56917721405523525</v>
      </c>
      <c r="C43" s="12">
        <f t="shared" si="11"/>
        <v>0.54568067489832106</v>
      </c>
      <c r="D43" s="240">
        <f t="shared" si="11"/>
        <v>0.56763658544322737</v>
      </c>
      <c r="F43" s="237"/>
      <c r="G43" s="41"/>
      <c r="H43" s="41"/>
      <c r="I43" s="41"/>
      <c r="J43" s="41"/>
      <c r="K43" s="41"/>
      <c r="L43" s="41"/>
      <c r="M43" s="41"/>
      <c r="N43" s="41"/>
    </row>
    <row r="44" spans="1:14">
      <c r="A44" s="235" t="s">
        <v>16</v>
      </c>
      <c r="B44" s="12">
        <f t="shared" si="12"/>
        <v>0.51606802175990218</v>
      </c>
      <c r="C44" s="12">
        <f t="shared" si="11"/>
        <v>0.52051029078155697</v>
      </c>
      <c r="D44" s="240">
        <f t="shared" si="11"/>
        <v>0.53632595621957768</v>
      </c>
      <c r="F44" s="237"/>
      <c r="G44" s="41"/>
      <c r="H44" s="41"/>
      <c r="I44" s="41"/>
      <c r="J44" s="41"/>
      <c r="K44" s="41"/>
      <c r="L44" s="41"/>
      <c r="M44" s="41"/>
      <c r="N44" s="41"/>
    </row>
    <row r="45" spans="1:14">
      <c r="A45" s="235" t="s">
        <v>17</v>
      </c>
      <c r="B45" s="12">
        <f t="shared" si="12"/>
        <v>0.37995735611671427</v>
      </c>
      <c r="C45" s="12">
        <f t="shared" si="11"/>
        <v>0.33996253248182912</v>
      </c>
      <c r="D45" s="240">
        <f t="shared" si="11"/>
        <v>0.33044900906632479</v>
      </c>
      <c r="F45" s="237"/>
      <c r="G45" s="41"/>
      <c r="H45" s="41"/>
      <c r="I45" s="41"/>
      <c r="J45" s="41"/>
      <c r="K45" s="41"/>
      <c r="L45" s="41"/>
      <c r="M45" s="41"/>
      <c r="N45" s="41"/>
    </row>
    <row r="46" spans="1:14">
      <c r="A46" s="235" t="s">
        <v>18</v>
      </c>
      <c r="B46" s="12">
        <f t="shared" si="12"/>
        <v>0.10957894677386369</v>
      </c>
      <c r="C46" s="12">
        <f t="shared" si="11"/>
        <v>0.10383567982132701</v>
      </c>
      <c r="D46" s="240">
        <f t="shared" si="11"/>
        <v>0.10781463331349206</v>
      </c>
      <c r="F46" s="237"/>
      <c r="G46" s="41"/>
      <c r="H46" s="41"/>
      <c r="I46" s="41"/>
      <c r="J46" s="41"/>
      <c r="K46" s="41"/>
      <c r="L46" s="41"/>
      <c r="M46" s="41"/>
      <c r="N46" s="41"/>
    </row>
    <row r="47" spans="1:14">
      <c r="A47" s="235" t="s">
        <v>19</v>
      </c>
      <c r="B47" s="12">
        <f t="shared" si="12"/>
        <v>0.21988407768820334</v>
      </c>
      <c r="C47" s="12">
        <f t="shared" si="11"/>
        <v>0.21964678683299357</v>
      </c>
      <c r="D47" s="240">
        <f t="shared" si="11"/>
        <v>0.23124687601030122</v>
      </c>
      <c r="F47" s="237"/>
      <c r="G47" s="41"/>
      <c r="H47" s="41"/>
      <c r="I47" s="41"/>
      <c r="J47" s="41"/>
      <c r="K47" s="41"/>
      <c r="L47" s="41"/>
      <c r="M47" s="41"/>
      <c r="N47" s="41"/>
    </row>
    <row r="48" spans="1:14" ht="15" thickBot="1">
      <c r="A48" s="185" t="s">
        <v>20</v>
      </c>
      <c r="B48" s="67">
        <f t="shared" si="12"/>
        <v>0.5727800795353829</v>
      </c>
      <c r="C48" s="67">
        <f t="shared" si="11"/>
        <v>0.55386434786576011</v>
      </c>
      <c r="D48" s="68">
        <f t="shared" si="11"/>
        <v>0.56459761934012331</v>
      </c>
      <c r="F48" s="237"/>
      <c r="G48" s="41"/>
      <c r="H48" s="41"/>
      <c r="I48" s="41"/>
      <c r="J48" s="41"/>
      <c r="K48" s="41"/>
      <c r="L48" s="41"/>
      <c r="M48" s="41"/>
      <c r="N48" s="41"/>
    </row>
    <row r="49" spans="6:14">
      <c r="F49" s="41"/>
      <c r="G49" s="41"/>
      <c r="H49" s="41"/>
      <c r="I49" s="41"/>
      <c r="J49" s="41"/>
      <c r="K49" s="41"/>
      <c r="L49" s="41"/>
      <c r="M49" s="41"/>
      <c r="N49" s="41"/>
    </row>
  </sheetData>
  <mergeCells count="1">
    <mergeCell ref="L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opLeftCell="A34" zoomScale="70" zoomScaleNormal="70" workbookViewId="0">
      <selection activeCell="D46" sqref="D46"/>
    </sheetView>
  </sheetViews>
  <sheetFormatPr defaultRowHeight="14.5"/>
  <cols>
    <col min="2" max="2" width="11.7265625" customWidth="1"/>
    <col min="4" max="4" width="11" customWidth="1"/>
    <col min="5" max="5" width="11.453125" customWidth="1"/>
    <col min="6" max="6" width="10.90625" customWidth="1"/>
    <col min="7" max="7" width="11.81640625" customWidth="1"/>
    <col min="8" max="8" width="11.26953125" customWidth="1"/>
    <col min="9" max="11" width="10.36328125" bestFit="1" customWidth="1"/>
  </cols>
  <sheetData>
    <row r="1" spans="1:17" ht="15" thickBot="1">
      <c r="A1" s="6" t="s">
        <v>178</v>
      </c>
      <c r="B1" s="86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6"/>
      <c r="P1" s="86"/>
      <c r="Q1" s="87"/>
    </row>
    <row r="2" spans="1:17" ht="15" thickBot="1">
      <c r="A2" s="87"/>
      <c r="B2" s="88"/>
      <c r="C2" s="386" t="s">
        <v>179</v>
      </c>
      <c r="D2" s="387"/>
      <c r="E2" s="387"/>
      <c r="F2" s="387"/>
      <c r="G2" s="387"/>
      <c r="H2" s="387"/>
      <c r="I2" s="387"/>
      <c r="J2" s="387"/>
      <c r="K2" s="387"/>
      <c r="L2" s="387"/>
      <c r="M2" s="388"/>
      <c r="N2" s="89" t="s">
        <v>180</v>
      </c>
      <c r="O2" s="86"/>
      <c r="P2" s="86"/>
      <c r="Q2" s="87"/>
    </row>
    <row r="3" spans="1:17">
      <c r="A3" s="87"/>
      <c r="B3" s="90" t="s">
        <v>28</v>
      </c>
      <c r="C3" s="91" t="s">
        <v>181</v>
      </c>
      <c r="D3" s="92" t="s">
        <v>182</v>
      </c>
      <c r="E3" s="92" t="s">
        <v>183</v>
      </c>
      <c r="F3" s="92" t="s">
        <v>184</v>
      </c>
      <c r="G3" s="92" t="s">
        <v>185</v>
      </c>
      <c r="H3" s="92" t="s">
        <v>186</v>
      </c>
      <c r="I3" s="92" t="s">
        <v>24</v>
      </c>
      <c r="J3" s="92" t="s">
        <v>187</v>
      </c>
      <c r="K3" s="92" t="s">
        <v>26</v>
      </c>
      <c r="L3" s="92" t="s">
        <v>188</v>
      </c>
      <c r="M3" s="93" t="s">
        <v>202</v>
      </c>
      <c r="N3" s="94" t="s">
        <v>189</v>
      </c>
      <c r="O3" s="86"/>
      <c r="P3" s="86"/>
      <c r="Q3" s="87"/>
    </row>
    <row r="4" spans="1:17" ht="15" thickBot="1">
      <c r="A4" s="87"/>
      <c r="B4" s="90"/>
      <c r="C4" s="95" t="s">
        <v>190</v>
      </c>
      <c r="D4" s="96" t="s">
        <v>190</v>
      </c>
      <c r="E4" s="96" t="s">
        <v>190</v>
      </c>
      <c r="F4" s="96" t="s">
        <v>190</v>
      </c>
      <c r="G4" s="96" t="s">
        <v>190</v>
      </c>
      <c r="H4" s="96" t="s">
        <v>190</v>
      </c>
      <c r="I4" s="96" t="s">
        <v>190</v>
      </c>
      <c r="J4" s="96" t="s">
        <v>190</v>
      </c>
      <c r="K4" s="96" t="s">
        <v>190</v>
      </c>
      <c r="L4" s="96" t="s">
        <v>190</v>
      </c>
      <c r="M4" s="97" t="s">
        <v>190</v>
      </c>
      <c r="N4" s="98" t="s">
        <v>190</v>
      </c>
      <c r="O4" s="86"/>
      <c r="P4" s="86"/>
      <c r="Q4" s="87"/>
    </row>
    <row r="5" spans="1:17">
      <c r="A5" s="87"/>
      <c r="B5" s="99" t="s">
        <v>299</v>
      </c>
      <c r="C5" s="100" t="s">
        <v>191</v>
      </c>
      <c r="D5" s="101" t="s">
        <v>192</v>
      </c>
      <c r="E5" s="101" t="s">
        <v>191</v>
      </c>
      <c r="F5" s="101" t="s">
        <v>191</v>
      </c>
      <c r="G5" s="101" t="s">
        <v>192</v>
      </c>
      <c r="H5" s="102">
        <v>0.9735251885785382</v>
      </c>
      <c r="I5" s="102">
        <v>1.7760629985253553</v>
      </c>
      <c r="J5" s="102">
        <v>7.5115404318785037</v>
      </c>
      <c r="K5" s="102">
        <v>1.8001955492057826</v>
      </c>
      <c r="L5" s="101" t="s">
        <v>192</v>
      </c>
      <c r="M5" s="103">
        <v>1.27749240610459</v>
      </c>
      <c r="N5" s="104">
        <f>SUM(H5:K5)</f>
        <v>12.061324168188179</v>
      </c>
      <c r="O5" s="86"/>
      <c r="P5" s="105"/>
      <c r="Q5" s="87"/>
    </row>
    <row r="6" spans="1:17">
      <c r="A6" s="87"/>
      <c r="B6" s="106" t="s">
        <v>294</v>
      </c>
      <c r="C6" s="107" t="s">
        <v>191</v>
      </c>
      <c r="D6" s="108" t="s">
        <v>192</v>
      </c>
      <c r="E6" s="108" t="s">
        <v>191</v>
      </c>
      <c r="F6" s="108" t="s">
        <v>191</v>
      </c>
      <c r="G6" s="108" t="s">
        <v>192</v>
      </c>
      <c r="H6" s="128">
        <v>1.7504847734179985E-2</v>
      </c>
      <c r="I6" s="128">
        <v>3.1167263279914571E-2</v>
      </c>
      <c r="J6" s="128">
        <v>1.9921134585527611</v>
      </c>
      <c r="K6" s="128">
        <v>2.9613171870017793E-3</v>
      </c>
      <c r="L6" s="108" t="s">
        <v>192</v>
      </c>
      <c r="M6" s="103">
        <v>1.4653744229293554E-2</v>
      </c>
      <c r="N6" s="145">
        <v>1.9814123601940399</v>
      </c>
      <c r="O6" s="86"/>
      <c r="P6" s="86"/>
      <c r="Q6" s="87"/>
    </row>
    <row r="7" spans="1:17">
      <c r="A7" s="87"/>
      <c r="B7" s="99" t="s">
        <v>300</v>
      </c>
      <c r="C7" s="100" t="s">
        <v>191</v>
      </c>
      <c r="D7" s="101" t="s">
        <v>192</v>
      </c>
      <c r="E7" s="101" t="s">
        <v>191</v>
      </c>
      <c r="F7" s="101" t="s">
        <v>191</v>
      </c>
      <c r="G7" s="101" t="s">
        <v>192</v>
      </c>
      <c r="H7" s="102">
        <v>0.86602553803066029</v>
      </c>
      <c r="I7" s="102">
        <v>1.8294451650943393</v>
      </c>
      <c r="J7" s="102">
        <v>2.4014315920903373</v>
      </c>
      <c r="K7" s="102">
        <v>2.1114737986438676</v>
      </c>
      <c r="L7" s="101" t="s">
        <v>192</v>
      </c>
      <c r="M7" s="103">
        <v>1.3484925191627355</v>
      </c>
      <c r="N7" s="104">
        <f>SUM(H7:K7)</f>
        <v>7.2083760938592043</v>
      </c>
      <c r="O7" s="86"/>
      <c r="P7" s="86"/>
      <c r="Q7" s="87"/>
    </row>
    <row r="8" spans="1:17">
      <c r="A8" s="87"/>
      <c r="B8" s="106" t="s">
        <v>295</v>
      </c>
      <c r="C8" s="107" t="s">
        <v>191</v>
      </c>
      <c r="D8" s="108" t="s">
        <v>192</v>
      </c>
      <c r="E8" s="108" t="s">
        <v>191</v>
      </c>
      <c r="F8" s="108" t="s">
        <v>191</v>
      </c>
      <c r="G8" s="108" t="s">
        <v>192</v>
      </c>
      <c r="H8" s="128">
        <v>6.3945529882669825E-3</v>
      </c>
      <c r="I8" s="128">
        <v>3.6780392702072409E-2</v>
      </c>
      <c r="J8" s="128">
        <v>0.39488306359472314</v>
      </c>
      <c r="K8" s="128">
        <v>1.6946850072663659E-2</v>
      </c>
      <c r="L8" s="108" t="s">
        <v>192</v>
      </c>
      <c r="M8" s="103">
        <v>2.900748180189339E-2</v>
      </c>
      <c r="N8" s="145">
        <v>1.9814123601940399</v>
      </c>
      <c r="O8" s="86"/>
      <c r="P8" s="86"/>
      <c r="Q8" s="87"/>
    </row>
    <row r="9" spans="1:17">
      <c r="A9" s="87"/>
      <c r="B9" s="99" t="s">
        <v>301</v>
      </c>
      <c r="C9" s="100" t="s">
        <v>191</v>
      </c>
      <c r="D9" s="101" t="s">
        <v>192</v>
      </c>
      <c r="E9" s="101" t="s">
        <v>191</v>
      </c>
      <c r="F9" s="101" t="s">
        <v>191</v>
      </c>
      <c r="G9" s="101" t="s">
        <v>192</v>
      </c>
      <c r="H9" s="102">
        <v>0.97666532786885241</v>
      </c>
      <c r="I9" s="102">
        <v>1.9221128688524591</v>
      </c>
      <c r="J9" s="102">
        <v>1.2686272303856136</v>
      </c>
      <c r="K9" s="102">
        <v>2.3587768032786887</v>
      </c>
      <c r="L9" s="101" t="s">
        <v>192</v>
      </c>
      <c r="M9" s="103">
        <v>1.2721040163934427</v>
      </c>
      <c r="N9" s="104">
        <f>SUM(H9:K9)</f>
        <v>6.5261822303856132</v>
      </c>
      <c r="O9" s="86"/>
      <c r="P9" s="86"/>
      <c r="Q9" s="87"/>
    </row>
    <row r="10" spans="1:17" ht="15" thickBot="1">
      <c r="A10" s="87"/>
      <c r="B10" s="112" t="s">
        <v>296</v>
      </c>
      <c r="C10" s="113" t="s">
        <v>191</v>
      </c>
      <c r="D10" s="114" t="s">
        <v>192</v>
      </c>
      <c r="E10" s="114" t="s">
        <v>191</v>
      </c>
      <c r="F10" s="114" t="s">
        <v>191</v>
      </c>
      <c r="G10" s="114" t="s">
        <v>192</v>
      </c>
      <c r="H10" s="146">
        <v>2.0583414723762551E-2</v>
      </c>
      <c r="I10" s="146">
        <v>5.3325936267033275E-2</v>
      </c>
      <c r="J10" s="146">
        <v>8.3233751789962077E-2</v>
      </c>
      <c r="K10" s="146">
        <v>0.13299716425219979</v>
      </c>
      <c r="L10" s="114" t="s">
        <v>192</v>
      </c>
      <c r="M10" s="147">
        <v>3.6679019769879515E-2</v>
      </c>
      <c r="N10" s="148">
        <v>0.29014026703295748</v>
      </c>
      <c r="O10" s="86"/>
      <c r="P10" s="86"/>
      <c r="Q10" s="87"/>
    </row>
    <row r="11" spans="1:17">
      <c r="A11" s="87"/>
      <c r="B11" s="118" t="s">
        <v>193</v>
      </c>
      <c r="C11" s="87"/>
      <c r="D11" s="87"/>
      <c r="E11" s="87"/>
      <c r="F11" s="87"/>
      <c r="G11" s="87"/>
      <c r="H11" s="87">
        <f>179.17-18</f>
        <v>161.16999999999999</v>
      </c>
      <c r="I11" s="87">
        <f>180.16-18</f>
        <v>162.16</v>
      </c>
      <c r="J11" s="87">
        <f>180.16-18</f>
        <v>162.16</v>
      </c>
      <c r="K11" s="87">
        <f>180.16-18</f>
        <v>162.16</v>
      </c>
      <c r="L11" s="87"/>
      <c r="M11" s="87"/>
      <c r="N11" s="87"/>
      <c r="O11" s="86"/>
      <c r="P11" s="86"/>
      <c r="Q11" s="87"/>
    </row>
    <row r="12" spans="1:17">
      <c r="A12" s="87"/>
      <c r="B12" s="119" t="s">
        <v>194</v>
      </c>
      <c r="C12" s="120"/>
      <c r="D12" s="120"/>
      <c r="E12" s="120"/>
      <c r="F12" s="120"/>
      <c r="G12" s="120"/>
      <c r="H12" s="120"/>
      <c r="I12" s="120"/>
      <c r="J12" s="120"/>
      <c r="K12" s="120"/>
      <c r="L12" s="121"/>
      <c r="M12" s="121"/>
      <c r="N12" s="121"/>
      <c r="O12" s="86"/>
      <c r="P12" s="86"/>
      <c r="Q12" s="87"/>
    </row>
    <row r="13" spans="1:17">
      <c r="A13" s="87"/>
      <c r="B13" s="122" t="s">
        <v>195</v>
      </c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86"/>
      <c r="P13" s="86"/>
      <c r="Q13" s="87"/>
    </row>
    <row r="14" spans="1:17">
      <c r="A14" s="87"/>
      <c r="B14" s="122" t="s">
        <v>196</v>
      </c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23"/>
      <c r="P14" s="86"/>
      <c r="Q14" s="87"/>
    </row>
    <row r="15" spans="1:17">
      <c r="A15" s="87"/>
      <c r="B15" s="124" t="s">
        <v>201</v>
      </c>
      <c r="C15" s="121"/>
      <c r="D15" s="121"/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86"/>
      <c r="P15" s="86"/>
      <c r="Q15" s="87"/>
    </row>
    <row r="16" spans="1:17">
      <c r="A16" s="87"/>
      <c r="B16" t="s">
        <v>203</v>
      </c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86"/>
      <c r="P16" s="86"/>
      <c r="Q16" s="87"/>
    </row>
    <row r="17" spans="1:17" ht="15" thickBot="1">
      <c r="A17" s="125" t="s">
        <v>197</v>
      </c>
      <c r="B17" s="124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86"/>
      <c r="P17" s="86"/>
      <c r="Q17" s="87"/>
    </row>
    <row r="18" spans="1:17" ht="15" thickBot="1">
      <c r="A18" s="87"/>
      <c r="B18" s="88"/>
      <c r="C18" s="386" t="s">
        <v>179</v>
      </c>
      <c r="D18" s="387"/>
      <c r="E18" s="387"/>
      <c r="F18" s="387"/>
      <c r="G18" s="387"/>
      <c r="H18" s="387"/>
      <c r="I18" s="387"/>
      <c r="J18" s="387"/>
      <c r="K18" s="387"/>
      <c r="L18" s="387"/>
      <c r="M18" s="388"/>
      <c r="N18" s="89" t="s">
        <v>180</v>
      </c>
      <c r="O18" s="86"/>
      <c r="P18" s="86"/>
      <c r="Q18" s="87"/>
    </row>
    <row r="19" spans="1:17" ht="58">
      <c r="A19" s="87"/>
      <c r="B19" s="90" t="s">
        <v>28</v>
      </c>
      <c r="C19" s="91"/>
      <c r="D19" s="92"/>
      <c r="E19" s="92"/>
      <c r="F19" s="92"/>
      <c r="G19" s="126" t="s">
        <v>22</v>
      </c>
      <c r="H19" s="126" t="s">
        <v>23</v>
      </c>
      <c r="I19" s="92" t="s">
        <v>24</v>
      </c>
      <c r="J19" s="126" t="s">
        <v>198</v>
      </c>
      <c r="K19" s="92" t="s">
        <v>26</v>
      </c>
      <c r="L19" s="92" t="s">
        <v>188</v>
      </c>
      <c r="M19" s="93" t="s">
        <v>205</v>
      </c>
      <c r="N19" s="94" t="s">
        <v>189</v>
      </c>
      <c r="O19" s="86"/>
      <c r="P19" s="127" t="s">
        <v>207</v>
      </c>
    </row>
    <row r="20" spans="1:17" ht="15" thickBot="1">
      <c r="A20" s="87"/>
      <c r="B20" s="90"/>
      <c r="C20" s="95"/>
      <c r="D20" s="96"/>
      <c r="E20" s="96"/>
      <c r="F20" s="96"/>
      <c r="G20" s="96" t="s">
        <v>190</v>
      </c>
      <c r="H20" s="96" t="s">
        <v>190</v>
      </c>
      <c r="I20" s="96" t="s">
        <v>190</v>
      </c>
      <c r="J20" s="96" t="s">
        <v>190</v>
      </c>
      <c r="K20" s="96" t="s">
        <v>190</v>
      </c>
      <c r="L20" s="96" t="s">
        <v>190</v>
      </c>
      <c r="M20" s="97" t="s">
        <v>190</v>
      </c>
      <c r="N20" s="98" t="s">
        <v>190</v>
      </c>
      <c r="O20" s="86"/>
      <c r="P20" s="127" t="s">
        <v>190</v>
      </c>
      <c r="Q20" s="87"/>
    </row>
    <row r="21" spans="1:17">
      <c r="A21" s="87"/>
      <c r="B21" s="99">
        <v>7942</v>
      </c>
      <c r="C21" s="100"/>
      <c r="D21" s="101"/>
      <c r="E21" s="101"/>
      <c r="F21" s="101"/>
      <c r="G21" s="101">
        <f>G$27/H$27*H21</f>
        <v>1.6629117355318705</v>
      </c>
      <c r="H21" s="102">
        <f>H5*H$27/H$11</f>
        <v>1.2274016151837126</v>
      </c>
      <c r="I21" s="102">
        <v>1.7760629985253553</v>
      </c>
      <c r="J21" s="102">
        <f>7.5115404318785-P21</f>
        <v>6.4415404318784999</v>
      </c>
      <c r="K21" s="102">
        <v>1.8001955492057826</v>
      </c>
      <c r="L21" s="101"/>
      <c r="M21" s="103">
        <v>1.27749240610459</v>
      </c>
      <c r="N21" s="104">
        <f>SUM(G21:K21)</f>
        <v>12.908112330325221</v>
      </c>
      <c r="O21" s="86"/>
      <c r="P21" s="86">
        <v>1.07</v>
      </c>
      <c r="Q21" s="87"/>
    </row>
    <row r="22" spans="1:17">
      <c r="A22" s="87"/>
      <c r="B22" s="106"/>
      <c r="C22" s="107"/>
      <c r="D22" s="108"/>
      <c r="E22" s="108"/>
      <c r="F22" s="108"/>
      <c r="G22" s="108"/>
      <c r="H22" s="128"/>
      <c r="I22" s="109"/>
      <c r="J22" s="109"/>
      <c r="K22" s="109"/>
      <c r="L22" s="108"/>
      <c r="M22" s="110"/>
      <c r="N22" s="111"/>
      <c r="O22" s="86"/>
      <c r="P22" s="86"/>
      <c r="Q22" s="87"/>
    </row>
    <row r="23" spans="1:17">
      <c r="A23" s="87"/>
      <c r="B23" s="99" t="s">
        <v>302</v>
      </c>
      <c r="C23" s="100"/>
      <c r="D23" s="101"/>
      <c r="E23" s="101"/>
      <c r="F23" s="101"/>
      <c r="G23" s="101">
        <f t="shared" ref="G23:G25" si="0">G$27/H$27*H23</f>
        <v>1.4792878986153799</v>
      </c>
      <c r="H23" s="102">
        <f t="shared" ref="H23:H25" si="1">H7*H$27/H$11</f>
        <v>1.09186814747056</v>
      </c>
      <c r="I23" s="102">
        <v>1.8294451650943393</v>
      </c>
      <c r="J23" s="102">
        <f>2.40143159209034-P23</f>
        <v>0.35143159209034014</v>
      </c>
      <c r="K23" s="102">
        <v>2.1114737986438676</v>
      </c>
      <c r="L23" s="101"/>
      <c r="M23" s="103">
        <v>1.3484925191627355</v>
      </c>
      <c r="N23" s="104">
        <f>SUM(G23:K23)</f>
        <v>6.8635066019144864</v>
      </c>
      <c r="O23" s="86"/>
      <c r="P23" s="86">
        <v>2.0499999999999998</v>
      </c>
      <c r="Q23" s="87"/>
    </row>
    <row r="24" spans="1:17">
      <c r="A24" s="87"/>
      <c r="B24" s="106"/>
      <c r="C24" s="107"/>
      <c r="D24" s="108"/>
      <c r="E24" s="108"/>
      <c r="F24" s="108"/>
      <c r="G24" s="108"/>
      <c r="H24" s="128"/>
      <c r="I24" s="109"/>
      <c r="J24" s="109"/>
      <c r="K24" s="109"/>
      <c r="L24" s="108"/>
      <c r="M24" s="110"/>
      <c r="N24" s="111"/>
      <c r="O24" s="86"/>
      <c r="P24" s="86"/>
      <c r="Q24" s="87"/>
    </row>
    <row r="25" spans="1:17">
      <c r="A25" s="87"/>
      <c r="B25" s="99" t="s">
        <v>214</v>
      </c>
      <c r="C25" s="100"/>
      <c r="D25" s="101"/>
      <c r="E25" s="101"/>
      <c r="F25" s="101"/>
      <c r="G25" s="101">
        <f t="shared" si="0"/>
        <v>1.6682755150604649</v>
      </c>
      <c r="H25" s="102">
        <f t="shared" si="1"/>
        <v>1.2313606417010041</v>
      </c>
      <c r="I25" s="102">
        <v>1.9221128688524591</v>
      </c>
      <c r="J25" s="102">
        <f>1.26862723038561-P25</f>
        <v>0.66862723038561012</v>
      </c>
      <c r="K25" s="102">
        <v>2.3587768032786887</v>
      </c>
      <c r="L25" s="101"/>
      <c r="M25" s="103">
        <v>1.2721040163934427</v>
      </c>
      <c r="N25" s="104">
        <f>SUM(G25:K25)</f>
        <v>7.8491530592782262</v>
      </c>
      <c r="O25" s="86"/>
      <c r="P25" s="86">
        <v>0.6</v>
      </c>
      <c r="Q25" s="87"/>
    </row>
    <row r="26" spans="1:17" ht="15" thickBot="1">
      <c r="A26" s="87"/>
      <c r="B26" s="112"/>
      <c r="C26" s="113"/>
      <c r="D26" s="114"/>
      <c r="E26" s="114"/>
      <c r="F26" s="114"/>
      <c r="G26" s="114"/>
      <c r="H26" s="115"/>
      <c r="I26" s="115"/>
      <c r="J26" s="115"/>
      <c r="K26" s="115"/>
      <c r="L26" s="114"/>
      <c r="M26" s="116"/>
      <c r="N26" s="117"/>
      <c r="O26" s="86"/>
      <c r="P26" s="86"/>
      <c r="Q26" s="87"/>
    </row>
    <row r="27" spans="1:17">
      <c r="A27" s="87"/>
      <c r="B27" s="124" t="s">
        <v>193</v>
      </c>
      <c r="C27" s="121"/>
      <c r="D27" s="121"/>
      <c r="E27" s="121"/>
      <c r="F27" s="121"/>
      <c r="G27" s="121">
        <f>293.3-18</f>
        <v>275.3</v>
      </c>
      <c r="H27" s="121">
        <f>221.2-18</f>
        <v>203.2</v>
      </c>
      <c r="I27" s="121">
        <f>I11</f>
        <v>162.16</v>
      </c>
      <c r="J27" s="121">
        <f>J11</f>
        <v>162.16</v>
      </c>
      <c r="K27" s="121">
        <f>K11</f>
        <v>162.16</v>
      </c>
      <c r="L27" s="121"/>
      <c r="M27" s="121"/>
      <c r="N27" s="121"/>
      <c r="O27" s="86"/>
      <c r="P27" s="86"/>
      <c r="Q27" s="87"/>
    </row>
    <row r="28" spans="1:17">
      <c r="A28" s="87"/>
      <c r="B28" s="124" t="s">
        <v>204</v>
      </c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86"/>
      <c r="P28" s="86"/>
      <c r="Q28" s="87"/>
    </row>
    <row r="29" spans="1:17">
      <c r="A29" s="87"/>
      <c r="B29" s="121" t="s">
        <v>200</v>
      </c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86"/>
      <c r="P29" s="86"/>
      <c r="Q29" s="87"/>
    </row>
    <row r="30" spans="1:17">
      <c r="A30" s="87"/>
      <c r="B30" s="121" t="s">
        <v>206</v>
      </c>
      <c r="C30" s="121"/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86"/>
      <c r="P30" s="86"/>
      <c r="Q30" s="87"/>
    </row>
    <row r="31" spans="1:17">
      <c r="A31" s="87"/>
      <c r="B31" s="121" t="s">
        <v>208</v>
      </c>
      <c r="C31" s="121"/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86"/>
      <c r="P31" s="86"/>
      <c r="Q31" s="87"/>
    </row>
    <row r="32" spans="1:17" ht="15" thickBot="1">
      <c r="A32" s="87"/>
      <c r="B32" s="87"/>
      <c r="C32" s="121"/>
      <c r="D32" s="121"/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86"/>
      <c r="P32" s="86"/>
      <c r="Q32" s="87"/>
    </row>
    <row r="33" spans="1:17">
      <c r="A33" s="87"/>
      <c r="B33" s="129" t="s">
        <v>21</v>
      </c>
      <c r="C33" s="130"/>
      <c r="D33" s="130"/>
      <c r="E33" s="130"/>
      <c r="F33" s="130"/>
      <c r="G33" s="130"/>
      <c r="H33" s="130"/>
      <c r="I33" s="130"/>
      <c r="J33" s="130"/>
      <c r="K33" s="131"/>
      <c r="L33" s="121"/>
      <c r="M33" s="121"/>
      <c r="N33" s="121"/>
      <c r="O33" s="86"/>
      <c r="P33" s="86"/>
      <c r="Q33" s="87"/>
    </row>
    <row r="34" spans="1:17" ht="44" thickBot="1">
      <c r="A34" s="87"/>
      <c r="B34" s="132"/>
      <c r="C34" s="133"/>
      <c r="D34" s="133"/>
      <c r="E34" s="133"/>
      <c r="F34" s="133"/>
      <c r="G34" s="134" t="s">
        <v>22</v>
      </c>
      <c r="H34" s="135" t="s">
        <v>23</v>
      </c>
      <c r="I34" s="136" t="s">
        <v>24</v>
      </c>
      <c r="J34" s="135" t="s">
        <v>25</v>
      </c>
      <c r="K34" s="137" t="s">
        <v>26</v>
      </c>
      <c r="L34" s="121"/>
      <c r="M34" s="121"/>
      <c r="N34" s="121"/>
      <c r="O34" s="86"/>
      <c r="P34" s="127"/>
      <c r="Q34" s="87"/>
    </row>
    <row r="35" spans="1:17">
      <c r="A35" s="87"/>
      <c r="B35" s="138" t="s">
        <v>299</v>
      </c>
      <c r="C35" s="139"/>
      <c r="D35" s="139"/>
      <c r="E35" s="139"/>
      <c r="F35" s="139"/>
      <c r="G35" s="149">
        <f>G21/100/G$27*1000/($N21/100)</f>
        <v>0.46795086104547534</v>
      </c>
      <c r="H35" s="149">
        <f>H21/100/H$27*1000/($N21/100)</f>
        <v>0.46795086104547545</v>
      </c>
      <c r="I35" s="149">
        <f>I21/100/I$27*1000/($N21/100)</f>
        <v>0.84850009392690739</v>
      </c>
      <c r="J35" s="149">
        <f>J21/100/J$27*1000/($N21/100)</f>
        <v>3.0773951520981764</v>
      </c>
      <c r="K35" s="150">
        <f>K21/100/K$27*1000/($N21/100)</f>
        <v>0.86002922973799056</v>
      </c>
      <c r="L35" s="121"/>
      <c r="M35" s="121"/>
      <c r="N35" s="121"/>
      <c r="O35" s="86"/>
      <c r="P35" s="86"/>
      <c r="Q35" s="87"/>
    </row>
    <row r="36" spans="1:17">
      <c r="A36" s="87"/>
      <c r="B36" s="140"/>
      <c r="C36" s="141"/>
      <c r="D36" s="141"/>
      <c r="E36" s="141"/>
      <c r="F36" s="141"/>
      <c r="G36" s="151"/>
      <c r="H36" s="151"/>
      <c r="I36" s="151"/>
      <c r="J36" s="151"/>
      <c r="K36" s="152"/>
      <c r="L36" s="121"/>
      <c r="M36" s="121"/>
      <c r="N36" s="121"/>
      <c r="O36" s="86"/>
      <c r="P36" s="86"/>
      <c r="Q36" s="87"/>
    </row>
    <row r="37" spans="1:17">
      <c r="A37" s="87"/>
      <c r="B37" s="142" t="s">
        <v>300</v>
      </c>
      <c r="C37" s="143"/>
      <c r="D37" s="143"/>
      <c r="E37" s="143"/>
      <c r="F37" s="143"/>
      <c r="G37" s="149">
        <f t="shared" ref="G37:K37" si="2">G23/100/G$27*1000/($N23/100)</f>
        <v>0.78288944400146687</v>
      </c>
      <c r="H37" s="149">
        <f t="shared" si="2"/>
        <v>0.78288944400146698</v>
      </c>
      <c r="I37" s="149">
        <f t="shared" si="2"/>
        <v>1.6437266830904504</v>
      </c>
      <c r="J37" s="149">
        <f t="shared" si="2"/>
        <v>0.31575556142458244</v>
      </c>
      <c r="K37" s="150">
        <f t="shared" si="2"/>
        <v>1.8971248166917891</v>
      </c>
      <c r="L37" s="121"/>
      <c r="M37" s="121"/>
      <c r="N37" s="121"/>
      <c r="O37" s="86"/>
      <c r="P37" s="86"/>
      <c r="Q37" s="87"/>
    </row>
    <row r="38" spans="1:17">
      <c r="A38" s="87"/>
      <c r="B38" s="140"/>
      <c r="C38" s="141"/>
      <c r="D38" s="141"/>
      <c r="E38" s="141"/>
      <c r="F38" s="141"/>
      <c r="G38" s="151"/>
      <c r="H38" s="151"/>
      <c r="I38" s="151"/>
      <c r="J38" s="151"/>
      <c r="K38" s="152"/>
      <c r="L38" s="121"/>
      <c r="M38" s="121"/>
      <c r="N38" s="121"/>
      <c r="O38" s="86"/>
      <c r="P38" s="86"/>
      <c r="Q38" s="87"/>
    </row>
    <row r="39" spans="1:17">
      <c r="A39" s="87"/>
      <c r="B39" s="142" t="s">
        <v>301</v>
      </c>
      <c r="C39" s="143"/>
      <c r="D39" s="143"/>
      <c r="E39" s="143"/>
      <c r="F39" s="143"/>
      <c r="G39" s="149">
        <f t="shared" ref="G39:K39" si="3">G25/100/G$27*1000/($N25/100)</f>
        <v>0.77203815900866868</v>
      </c>
      <c r="H39" s="149">
        <f t="shared" si="3"/>
        <v>0.77203815900866879</v>
      </c>
      <c r="I39" s="149">
        <f t="shared" si="3"/>
        <v>1.5101231063918301</v>
      </c>
      <c r="J39" s="149">
        <f t="shared" si="3"/>
        <v>0.52531224702267387</v>
      </c>
      <c r="K39" s="150">
        <f t="shared" si="3"/>
        <v>1.853191563916232</v>
      </c>
      <c r="L39" s="121"/>
      <c r="M39" s="121"/>
      <c r="N39" s="121"/>
      <c r="O39" s="86"/>
      <c r="P39" s="86"/>
      <c r="Q39" s="87"/>
    </row>
    <row r="40" spans="1:17" ht="15" thickBot="1">
      <c r="A40" s="87"/>
      <c r="B40" s="132"/>
      <c r="C40" s="133"/>
      <c r="D40" s="133"/>
      <c r="E40" s="133"/>
      <c r="F40" s="133"/>
      <c r="G40" s="133"/>
      <c r="H40" s="133"/>
      <c r="I40" s="133"/>
      <c r="J40" s="133"/>
      <c r="K40" s="144"/>
      <c r="L40" s="121"/>
      <c r="M40" s="121"/>
      <c r="N40" s="121"/>
      <c r="O40" s="86"/>
      <c r="P40" s="86"/>
      <c r="Q40" s="87"/>
    </row>
  </sheetData>
  <mergeCells count="2">
    <mergeCell ref="C2:M2"/>
    <mergeCell ref="C18:M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9"/>
  <sheetViews>
    <sheetView zoomScale="55" zoomScaleNormal="55" workbookViewId="0">
      <selection activeCell="B22" sqref="B22"/>
    </sheetView>
  </sheetViews>
  <sheetFormatPr defaultRowHeight="14.5"/>
  <cols>
    <col min="2" max="2" width="15.36328125" customWidth="1"/>
    <col min="3" max="3" width="12.7265625" customWidth="1"/>
  </cols>
  <sheetData>
    <row r="1" spans="2:43" ht="15" thickBot="1"/>
    <row r="2" spans="2:43" ht="29">
      <c r="B2" s="88"/>
      <c r="C2" s="280" t="s">
        <v>246</v>
      </c>
      <c r="D2" s="389" t="s">
        <v>247</v>
      </c>
      <c r="E2" s="389"/>
      <c r="F2" s="389"/>
      <c r="G2" s="389"/>
      <c r="H2" s="389"/>
      <c r="I2" s="389"/>
      <c r="J2" s="389"/>
      <c r="K2" s="389"/>
      <c r="L2" s="389"/>
      <c r="M2" s="389"/>
      <c r="N2" s="389"/>
      <c r="O2" s="389"/>
      <c r="P2" s="389"/>
      <c r="Q2" s="389"/>
      <c r="R2" s="389"/>
      <c r="S2" s="389"/>
      <c r="T2" s="389"/>
      <c r="U2" s="389"/>
      <c r="V2" s="389"/>
      <c r="W2" s="389"/>
      <c r="X2" s="389"/>
      <c r="Y2" s="389"/>
      <c r="Z2" s="389"/>
      <c r="AA2" s="389"/>
      <c r="AB2" s="389"/>
      <c r="AC2" s="389"/>
      <c r="AD2" s="389"/>
      <c r="AE2" s="389"/>
      <c r="AF2" s="389"/>
      <c r="AG2" s="389"/>
      <c r="AH2" s="389"/>
      <c r="AI2" s="389"/>
      <c r="AJ2" s="389"/>
      <c r="AK2" s="389"/>
      <c r="AL2" s="389"/>
      <c r="AM2" s="389"/>
      <c r="AN2" s="389"/>
      <c r="AO2" s="389"/>
      <c r="AP2" s="390"/>
      <c r="AQ2" s="281"/>
    </row>
    <row r="3" spans="2:43">
      <c r="B3" s="90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s="19" t="s">
        <v>51</v>
      </c>
      <c r="Z3" s="19" t="s">
        <v>52</v>
      </c>
      <c r="AA3" s="19" t="s">
        <v>53</v>
      </c>
      <c r="AB3" s="19" t="s">
        <v>54</v>
      </c>
      <c r="AC3" s="19" t="s">
        <v>55</v>
      </c>
      <c r="AD3" s="19" t="s">
        <v>56</v>
      </c>
      <c r="AE3" t="s">
        <v>57</v>
      </c>
      <c r="AF3" t="s">
        <v>58</v>
      </c>
      <c r="AG3" t="s">
        <v>59</v>
      </c>
      <c r="AH3" t="s">
        <v>60</v>
      </c>
      <c r="AI3" t="s">
        <v>61</v>
      </c>
      <c r="AJ3" t="s">
        <v>62</v>
      </c>
      <c r="AK3" t="s">
        <v>63</v>
      </c>
      <c r="AL3" t="s">
        <v>64</v>
      </c>
      <c r="AM3" t="s">
        <v>65</v>
      </c>
      <c r="AN3" t="s">
        <v>66</v>
      </c>
      <c r="AO3" t="s">
        <v>67</v>
      </c>
      <c r="AP3" s="155" t="s">
        <v>68</v>
      </c>
    </row>
    <row r="4" spans="2:43">
      <c r="B4" s="90"/>
      <c r="C4" t="s">
        <v>190</v>
      </c>
      <c r="Y4" s="19"/>
      <c r="Z4" s="19"/>
      <c r="AA4" s="19"/>
      <c r="AB4" s="19"/>
      <c r="AC4" s="19"/>
      <c r="AD4" s="19"/>
      <c r="AP4" s="155"/>
    </row>
    <row r="5" spans="2:43">
      <c r="B5" s="282" t="s">
        <v>299</v>
      </c>
      <c r="C5" s="283">
        <v>7.34860413914648</v>
      </c>
      <c r="D5">
        <v>0</v>
      </c>
      <c r="E5">
        <v>0</v>
      </c>
      <c r="F5">
        <v>0.18676621486129796</v>
      </c>
      <c r="G5">
        <v>2.3181030113392875</v>
      </c>
      <c r="H5">
        <v>4.0112665998794244</v>
      </c>
      <c r="I5">
        <v>0.16058713025728738</v>
      </c>
      <c r="J5">
        <v>49.853901193706562</v>
      </c>
      <c r="K5">
        <v>0.6769317512885189</v>
      </c>
      <c r="L5">
        <v>0.16638445139939989</v>
      </c>
      <c r="M5">
        <v>37.742415554853707</v>
      </c>
      <c r="N5">
        <v>0.21875108706753227</v>
      </c>
      <c r="O5">
        <v>0.21531226108568102</v>
      </c>
      <c r="P5">
        <v>0.17032977223630874</v>
      </c>
      <c r="Q5">
        <v>0.26165427671445562</v>
      </c>
      <c r="R5">
        <v>0.20336296019132957</v>
      </c>
      <c r="S5">
        <v>1.1900965294828016</v>
      </c>
      <c r="T5">
        <v>0</v>
      </c>
      <c r="U5">
        <v>0</v>
      </c>
      <c r="V5">
        <v>1.0883824198526653</v>
      </c>
      <c r="W5">
        <v>0.90274504158263724</v>
      </c>
      <c r="X5">
        <v>0.63300974420109379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55">
        <v>0</v>
      </c>
    </row>
    <row r="6" spans="2:43">
      <c r="B6" s="106" t="s">
        <v>294</v>
      </c>
      <c r="C6" s="284">
        <v>0.37872664993180666</v>
      </c>
      <c r="D6">
        <v>0</v>
      </c>
      <c r="E6">
        <v>0</v>
      </c>
      <c r="F6">
        <v>1.166373760146054E-2</v>
      </c>
      <c r="G6">
        <v>0.11572384630777283</v>
      </c>
      <c r="H6">
        <v>0.20740320026367798</v>
      </c>
      <c r="I6">
        <v>1.4673539887703443E-2</v>
      </c>
      <c r="J6">
        <v>6.5250962963612269E-2</v>
      </c>
      <c r="K6">
        <v>2.5306808331160197E-3</v>
      </c>
      <c r="L6">
        <v>1.6682192643904074E-2</v>
      </c>
      <c r="M6">
        <v>0.13885669258630581</v>
      </c>
      <c r="N6">
        <v>1.5551819899521795E-2</v>
      </c>
      <c r="O6">
        <v>1.3556016412058381E-2</v>
      </c>
      <c r="P6">
        <v>1.631761241416672E-2</v>
      </c>
      <c r="Q6">
        <v>3.1867773125875132E-2</v>
      </c>
      <c r="R6">
        <v>3.035093460298548E-3</v>
      </c>
      <c r="S6">
        <v>2.6018466645043606E-2</v>
      </c>
      <c r="T6">
        <v>0</v>
      </c>
      <c r="U6">
        <v>0</v>
      </c>
      <c r="V6">
        <v>0.14616173695719117</v>
      </c>
      <c r="W6">
        <v>7.0124676678401554E-2</v>
      </c>
      <c r="X6">
        <v>5.4629910309087475E-2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55">
        <v>0</v>
      </c>
    </row>
    <row r="7" spans="2:43">
      <c r="B7" s="282" t="s">
        <v>300</v>
      </c>
      <c r="C7" s="283">
        <v>7.8983130657666383</v>
      </c>
      <c r="D7">
        <v>0</v>
      </c>
      <c r="E7">
        <v>0</v>
      </c>
      <c r="F7">
        <v>0.12841685846488377</v>
      </c>
      <c r="G7">
        <v>1.4281380464590905</v>
      </c>
      <c r="H7">
        <v>2.1467655832135066</v>
      </c>
      <c r="I7">
        <v>0.13683170653510063</v>
      </c>
      <c r="J7">
        <v>50.278657678523025</v>
      </c>
      <c r="K7">
        <v>0.7114329487569564</v>
      </c>
      <c r="L7">
        <v>0.13914633072728405</v>
      </c>
      <c r="M7">
        <v>37.910505788103031</v>
      </c>
      <c r="N7">
        <v>0.20656137938741351</v>
      </c>
      <c r="O7">
        <v>0.17179544583919504</v>
      </c>
      <c r="P7">
        <v>0.15804555064500525</v>
      </c>
      <c r="Q7">
        <v>0.25788176180534383</v>
      </c>
      <c r="R7">
        <v>0.25126376012150714</v>
      </c>
      <c r="S7">
        <v>1.2603104243182306</v>
      </c>
      <c r="T7">
        <v>0</v>
      </c>
      <c r="U7">
        <v>0</v>
      </c>
      <c r="V7">
        <v>1.7738791977922697</v>
      </c>
      <c r="W7">
        <v>2.0116225194423882</v>
      </c>
      <c r="X7">
        <v>1.0287450198657691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55">
        <v>0</v>
      </c>
    </row>
    <row r="8" spans="2:43">
      <c r="B8" s="106" t="s">
        <v>303</v>
      </c>
      <c r="C8" s="284">
        <v>0.31970905623874829</v>
      </c>
      <c r="D8">
        <v>0</v>
      </c>
      <c r="E8">
        <v>0</v>
      </c>
      <c r="F8">
        <v>7.1117146695295298E-3</v>
      </c>
      <c r="G8">
        <v>6.1957304620566214E-2</v>
      </c>
      <c r="H8">
        <v>0.16970221139490219</v>
      </c>
      <c r="I8">
        <v>1.0435279472708373E-2</v>
      </c>
      <c r="J8">
        <v>0.16669193905404603</v>
      </c>
      <c r="K8">
        <v>7.2356707511122042E-3</v>
      </c>
      <c r="L8">
        <v>6.0342667847282415E-3</v>
      </c>
      <c r="M8">
        <v>0.37861596347843951</v>
      </c>
      <c r="N8">
        <v>7.278381572536915E-3</v>
      </c>
      <c r="O8">
        <v>2.6212812245714383E-3</v>
      </c>
      <c r="P8">
        <v>9.5846514689760869E-4</v>
      </c>
      <c r="Q8">
        <v>1.4192586124777978E-2</v>
      </c>
      <c r="R8">
        <v>1.3425896641429369E-2</v>
      </c>
      <c r="S8">
        <v>2.4040313019178826E-2</v>
      </c>
      <c r="T8">
        <v>0</v>
      </c>
      <c r="U8">
        <v>0</v>
      </c>
      <c r="V8">
        <v>0.15768565823347605</v>
      </c>
      <c r="W8">
        <v>0.20157579939049111</v>
      </c>
      <c r="X8">
        <v>5.2790934045505333E-2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55">
        <v>0</v>
      </c>
    </row>
    <row r="9" spans="2:43">
      <c r="B9" s="282" t="s">
        <v>301</v>
      </c>
      <c r="C9" s="283">
        <v>7.5738800566848195</v>
      </c>
      <c r="D9">
        <v>0</v>
      </c>
      <c r="E9">
        <v>0</v>
      </c>
      <c r="F9">
        <v>0.13705763903105306</v>
      </c>
      <c r="G9">
        <v>1.0813088280816818</v>
      </c>
      <c r="H9">
        <v>2.5750629120245092</v>
      </c>
      <c r="I9">
        <v>0.13714006109543003</v>
      </c>
      <c r="J9">
        <v>46.153741690105477</v>
      </c>
      <c r="K9">
        <v>0.75352523600940269</v>
      </c>
      <c r="L9">
        <v>0.14433225200442251</v>
      </c>
      <c r="M9">
        <v>40.880521124285586</v>
      </c>
      <c r="N9">
        <v>0.21018506220667249</v>
      </c>
      <c r="O9">
        <v>0.74922259510631439</v>
      </c>
      <c r="P9">
        <v>0.18856296060358879</v>
      </c>
      <c r="Q9">
        <v>0.2811572505043346</v>
      </c>
      <c r="R9">
        <v>0.20080069047093868</v>
      </c>
      <c r="S9">
        <v>1.4352167376798493</v>
      </c>
      <c r="T9">
        <v>0</v>
      </c>
      <c r="U9">
        <v>0</v>
      </c>
      <c r="V9">
        <v>0.76865485921592902</v>
      </c>
      <c r="W9">
        <v>1.7540171758378982</v>
      </c>
      <c r="X9">
        <v>2.5494929257369048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s="155">
        <v>0</v>
      </c>
    </row>
    <row r="10" spans="2:43" ht="15" thickBot="1">
      <c r="B10" s="112" t="s">
        <v>304</v>
      </c>
      <c r="C10" s="285">
        <v>0.11474227585680288</v>
      </c>
      <c r="D10" s="45">
        <v>0</v>
      </c>
      <c r="E10" s="45">
        <v>0</v>
      </c>
      <c r="F10" s="45">
        <v>3.8558147533324753E-3</v>
      </c>
      <c r="G10" s="45">
        <v>2.5821320546248797E-3</v>
      </c>
      <c r="H10" s="45">
        <v>1.0555539843749628E-2</v>
      </c>
      <c r="I10" s="45">
        <v>3.07034014767459E-3</v>
      </c>
      <c r="J10" s="45">
        <v>0.16588587619719938</v>
      </c>
      <c r="K10" s="45">
        <v>8.2364338345927001E-3</v>
      </c>
      <c r="L10" s="45">
        <v>8.9373219301401869E-3</v>
      </c>
      <c r="M10" s="45">
        <v>0.15681301195763198</v>
      </c>
      <c r="N10" s="45">
        <v>1.1635364226516232E-2</v>
      </c>
      <c r="O10" s="45">
        <v>0.1216881304904805</v>
      </c>
      <c r="P10" s="45">
        <v>1.2252617114292355E-2</v>
      </c>
      <c r="Q10" s="45">
        <v>2.496656992943596E-2</v>
      </c>
      <c r="R10" s="45">
        <v>1.0845970078832677E-3</v>
      </c>
      <c r="S10" s="45">
        <v>2.1198856303135082E-2</v>
      </c>
      <c r="T10" s="45">
        <v>0</v>
      </c>
      <c r="U10" s="45">
        <v>0</v>
      </c>
      <c r="V10" s="45">
        <v>7.769293736863557E-2</v>
      </c>
      <c r="W10" s="45">
        <v>2.2029954594405002E-2</v>
      </c>
      <c r="X10" s="45">
        <v>0.23211120385446737</v>
      </c>
      <c r="Y10" s="286">
        <v>0</v>
      </c>
      <c r="Z10" s="286">
        <v>0</v>
      </c>
      <c r="AA10" s="286">
        <v>0</v>
      </c>
      <c r="AB10" s="286">
        <v>0</v>
      </c>
      <c r="AC10" s="286">
        <v>0</v>
      </c>
      <c r="AD10" s="286">
        <v>0</v>
      </c>
      <c r="AE10" s="45">
        <v>0</v>
      </c>
      <c r="AF10" s="45">
        <v>0</v>
      </c>
      <c r="AG10" s="45">
        <v>0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0</v>
      </c>
      <c r="AN10" s="45">
        <v>0</v>
      </c>
      <c r="AO10" s="45">
        <v>0</v>
      </c>
      <c r="AP10" s="64">
        <v>0</v>
      </c>
    </row>
    <row r="11" spans="2:43">
      <c r="Y11" s="19"/>
      <c r="Z11" s="19"/>
      <c r="AA11" s="19"/>
      <c r="AB11" s="19"/>
      <c r="AC11" s="19"/>
      <c r="AD11" s="19"/>
    </row>
    <row r="12" spans="2:43">
      <c r="B12" s="302" t="s">
        <v>248</v>
      </c>
      <c r="C12" s="287"/>
      <c r="D12" s="287">
        <v>144.21600000000001</v>
      </c>
      <c r="E12" s="287">
        <v>172.27</v>
      </c>
      <c r="F12" s="287">
        <v>200.32400000000001</v>
      </c>
      <c r="G12" s="287">
        <v>228.37799999999999</v>
      </c>
      <c r="H12" s="287">
        <v>226.37799999999999</v>
      </c>
      <c r="I12" s="287">
        <v>242.405</v>
      </c>
      <c r="J12" s="287">
        <v>256.43200000000002</v>
      </c>
      <c r="K12" s="287">
        <v>254.43199999999999</v>
      </c>
      <c r="L12" s="287">
        <v>254.43199999999999</v>
      </c>
      <c r="M12" s="287">
        <v>254.43199999999999</v>
      </c>
      <c r="N12" s="287">
        <v>254.43199999999999</v>
      </c>
      <c r="O12" s="287">
        <v>254.43199999999999</v>
      </c>
      <c r="P12" s="287">
        <v>254.43199999999999</v>
      </c>
      <c r="Q12" s="287">
        <v>252.43199999999999</v>
      </c>
      <c r="R12" s="287">
        <v>270.459</v>
      </c>
      <c r="S12" s="287">
        <v>250.43199999999999</v>
      </c>
      <c r="T12" s="287">
        <v>268.459</v>
      </c>
      <c r="U12" s="287">
        <v>248.43199999999999</v>
      </c>
      <c r="V12" s="287">
        <v>284.48599999999999</v>
      </c>
      <c r="W12" s="287">
        <v>282.48599999999999</v>
      </c>
      <c r="X12" s="287">
        <v>282.48599999999999</v>
      </c>
      <c r="Y12" s="288">
        <v>280.48599999999999</v>
      </c>
      <c r="Z12" s="288">
        <v>278.48599999999999</v>
      </c>
      <c r="AA12" s="288">
        <v>278.48599999999999</v>
      </c>
      <c r="AB12" s="288">
        <v>276.48599999999999</v>
      </c>
      <c r="AC12" s="288">
        <v>312.54000000000002</v>
      </c>
      <c r="AD12" s="288">
        <v>310.54000000000002</v>
      </c>
      <c r="AE12" s="287">
        <v>308.54000000000002</v>
      </c>
      <c r="AF12" s="287">
        <v>306.54000000000002</v>
      </c>
      <c r="AG12" s="287">
        <v>304.54000000000002</v>
      </c>
      <c r="AH12" s="287">
        <v>306.54000000000002</v>
      </c>
      <c r="AI12" s="287">
        <v>302.54000000000002</v>
      </c>
      <c r="AJ12" s="287">
        <v>340.59399999999999</v>
      </c>
      <c r="AK12" s="287">
        <v>338.59399999999999</v>
      </c>
      <c r="AL12" s="287">
        <v>336.59399999999999</v>
      </c>
      <c r="AM12" s="287">
        <v>332.59399999999999</v>
      </c>
      <c r="AN12" s="287">
        <v>330.59399999999999</v>
      </c>
      <c r="AO12" s="287">
        <v>368.64800000000002</v>
      </c>
      <c r="AP12" s="287">
        <v>328.59399999999999</v>
      </c>
      <c r="AQ12" s="287"/>
    </row>
    <row r="13" spans="2:43">
      <c r="B13" s="184" t="s">
        <v>249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</row>
    <row r="14" spans="2:43"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</row>
    <row r="15" spans="2:43" ht="15" thickBot="1">
      <c r="B15" s="184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</row>
    <row r="16" spans="2:43">
      <c r="B16" s="289"/>
      <c r="C16" s="59"/>
      <c r="D16" s="290" t="s">
        <v>27</v>
      </c>
      <c r="E16" s="291"/>
      <c r="F16" s="291"/>
      <c r="G16" s="291"/>
      <c r="H16" s="291"/>
      <c r="I16" s="291"/>
      <c r="J16" s="291"/>
      <c r="K16" s="291"/>
      <c r="L16" s="291"/>
      <c r="M16" s="291"/>
      <c r="N16" s="291"/>
      <c r="O16" s="291"/>
      <c r="P16" s="291"/>
      <c r="Q16" s="291"/>
      <c r="R16" s="291"/>
      <c r="S16" s="291"/>
      <c r="T16" s="291"/>
      <c r="U16" s="291"/>
      <c r="V16" s="291"/>
      <c r="W16" s="291"/>
      <c r="X16" s="291"/>
      <c r="Y16" s="291"/>
      <c r="Z16" s="291"/>
      <c r="AA16" s="291"/>
      <c r="AB16" s="291"/>
      <c r="AC16" s="291"/>
      <c r="AD16" s="291"/>
      <c r="AE16" s="291"/>
      <c r="AF16" s="291"/>
      <c r="AG16" s="291"/>
      <c r="AH16" s="291"/>
      <c r="AI16" s="291"/>
      <c r="AJ16" s="291"/>
      <c r="AK16" s="291"/>
      <c r="AL16" s="291"/>
      <c r="AM16" s="291"/>
      <c r="AN16" s="291"/>
      <c r="AO16" s="291"/>
      <c r="AP16" s="292"/>
    </row>
    <row r="17" spans="2:43">
      <c r="B17" s="293" t="s">
        <v>28</v>
      </c>
      <c r="C17" s="294" t="s">
        <v>29</v>
      </c>
      <c r="D17" s="295" t="s">
        <v>30</v>
      </c>
      <c r="E17" s="296" t="s">
        <v>31</v>
      </c>
      <c r="F17" s="296" t="s">
        <v>32</v>
      </c>
      <c r="G17" s="296" t="s">
        <v>33</v>
      </c>
      <c r="H17" s="296" t="s">
        <v>34</v>
      </c>
      <c r="I17" s="296" t="s">
        <v>35</v>
      </c>
      <c r="J17" s="296" t="s">
        <v>36</v>
      </c>
      <c r="K17" s="296" t="s">
        <v>37</v>
      </c>
      <c r="L17" s="296" t="s">
        <v>38</v>
      </c>
      <c r="M17" s="296" t="s">
        <v>39</v>
      </c>
      <c r="N17" s="296" t="s">
        <v>40</v>
      </c>
      <c r="O17" s="296" t="s">
        <v>41</v>
      </c>
      <c r="P17" s="296" t="s">
        <v>42</v>
      </c>
      <c r="Q17" s="296" t="s">
        <v>43</v>
      </c>
      <c r="R17" s="296" t="s">
        <v>44</v>
      </c>
      <c r="S17" s="296" t="s">
        <v>45</v>
      </c>
      <c r="T17" s="296" t="s">
        <v>46</v>
      </c>
      <c r="U17" s="296" t="s">
        <v>47</v>
      </c>
      <c r="V17" s="296" t="s">
        <v>48</v>
      </c>
      <c r="W17" s="296" t="s">
        <v>49</v>
      </c>
      <c r="X17" s="296" t="s">
        <v>50</v>
      </c>
      <c r="Y17" s="296" t="s">
        <v>51</v>
      </c>
      <c r="Z17" s="296" t="s">
        <v>52</v>
      </c>
      <c r="AA17" s="296" t="s">
        <v>53</v>
      </c>
      <c r="AB17" s="296" t="s">
        <v>54</v>
      </c>
      <c r="AC17" s="296" t="s">
        <v>55</v>
      </c>
      <c r="AD17" s="296" t="s">
        <v>56</v>
      </c>
      <c r="AE17" s="296" t="s">
        <v>57</v>
      </c>
      <c r="AF17" s="296" t="s">
        <v>58</v>
      </c>
      <c r="AG17" s="296" t="s">
        <v>59</v>
      </c>
      <c r="AH17" s="296" t="s">
        <v>60</v>
      </c>
      <c r="AI17" s="296" t="s">
        <v>61</v>
      </c>
      <c r="AJ17" s="296" t="s">
        <v>62</v>
      </c>
      <c r="AK17" s="296" t="s">
        <v>63</v>
      </c>
      <c r="AL17" s="296" t="s">
        <v>64</v>
      </c>
      <c r="AM17" s="296" t="s">
        <v>65</v>
      </c>
      <c r="AN17" s="296" t="s">
        <v>66</v>
      </c>
      <c r="AO17" s="296" t="s">
        <v>67</v>
      </c>
      <c r="AP17" s="297" t="s">
        <v>68</v>
      </c>
      <c r="AQ17" s="22" t="s">
        <v>230</v>
      </c>
    </row>
    <row r="18" spans="2:43">
      <c r="B18" s="282" t="s">
        <v>299</v>
      </c>
      <c r="D18" s="19">
        <f t="shared" ref="D18:AP18" si="0">D5/100/D$12*1000</f>
        <v>0</v>
      </c>
      <c r="E18" s="19">
        <f t="shared" si="0"/>
        <v>0</v>
      </c>
      <c r="F18" s="19">
        <f t="shared" si="0"/>
        <v>9.3232071474859696E-3</v>
      </c>
      <c r="G18" s="19">
        <f t="shared" si="0"/>
        <v>0.10150290357824694</v>
      </c>
      <c r="H18" s="19">
        <f t="shared" si="0"/>
        <v>0.17719330499781005</v>
      </c>
      <c r="I18" s="19">
        <f t="shared" si="0"/>
        <v>6.624744962244483E-3</v>
      </c>
      <c r="J18" s="19">
        <f t="shared" si="0"/>
        <v>1.944137283712897</v>
      </c>
      <c r="K18" s="19">
        <f t="shared" si="0"/>
        <v>2.6605605870665596E-2</v>
      </c>
      <c r="L18" s="19">
        <f t="shared" si="0"/>
        <v>6.5394467440966506E-3</v>
      </c>
      <c r="M18" s="19">
        <f t="shared" si="0"/>
        <v>1.4833989260334277</v>
      </c>
      <c r="N18" s="19">
        <f t="shared" si="0"/>
        <v>8.597624790416784E-3</v>
      </c>
      <c r="O18" s="19">
        <f t="shared" si="0"/>
        <v>8.4624678140202917E-3</v>
      </c>
      <c r="P18" s="19">
        <f t="shared" si="0"/>
        <v>6.6945106054391249E-3</v>
      </c>
      <c r="Q18" s="19">
        <f t="shared" si="0"/>
        <v>1.0365337069565491E-2</v>
      </c>
      <c r="R18" s="19">
        <f t="shared" si="0"/>
        <v>7.5191788844641725E-3</v>
      </c>
      <c r="S18" s="19">
        <f t="shared" si="0"/>
        <v>4.7521743606360273E-2</v>
      </c>
      <c r="T18" s="19">
        <f t="shared" si="0"/>
        <v>0</v>
      </c>
      <c r="U18" s="19">
        <f t="shared" si="0"/>
        <v>0</v>
      </c>
      <c r="V18" s="19">
        <f t="shared" si="0"/>
        <v>3.8257855214410032E-2</v>
      </c>
      <c r="W18" s="19">
        <f t="shared" si="0"/>
        <v>3.1957160410874784E-2</v>
      </c>
      <c r="X18" s="19">
        <f t="shared" si="0"/>
        <v>2.2408535084963283E-2</v>
      </c>
      <c r="Y18" s="19">
        <f t="shared" si="0"/>
        <v>0</v>
      </c>
      <c r="Z18" s="19">
        <f t="shared" si="0"/>
        <v>0</v>
      </c>
      <c r="AA18" s="19">
        <f t="shared" si="0"/>
        <v>0</v>
      </c>
      <c r="AB18" s="19">
        <f t="shared" si="0"/>
        <v>0</v>
      </c>
      <c r="AC18" s="19">
        <f t="shared" si="0"/>
        <v>0</v>
      </c>
      <c r="AD18" s="19">
        <f t="shared" si="0"/>
        <v>0</v>
      </c>
      <c r="AE18" s="19">
        <f t="shared" si="0"/>
        <v>0</v>
      </c>
      <c r="AF18" s="19">
        <f t="shared" si="0"/>
        <v>0</v>
      </c>
      <c r="AG18" s="19">
        <f t="shared" si="0"/>
        <v>0</v>
      </c>
      <c r="AH18" s="19">
        <f t="shared" si="0"/>
        <v>0</v>
      </c>
      <c r="AI18" s="19">
        <f t="shared" si="0"/>
        <v>0</v>
      </c>
      <c r="AJ18" s="19">
        <f t="shared" si="0"/>
        <v>0</v>
      </c>
      <c r="AK18" s="19">
        <f t="shared" si="0"/>
        <v>0</v>
      </c>
      <c r="AL18" s="19">
        <f t="shared" si="0"/>
        <v>0</v>
      </c>
      <c r="AM18" s="19">
        <f t="shared" si="0"/>
        <v>0</v>
      </c>
      <c r="AN18" s="19">
        <f t="shared" si="0"/>
        <v>0</v>
      </c>
      <c r="AO18" s="19">
        <f t="shared" si="0"/>
        <v>0</v>
      </c>
      <c r="AP18" s="298">
        <f t="shared" si="0"/>
        <v>0</v>
      </c>
      <c r="AQ18" s="22">
        <f>SUM(D18:AP18)</f>
        <v>3.9371098365273878</v>
      </c>
    </row>
    <row r="19" spans="2:43">
      <c r="B19" s="29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298"/>
    </row>
    <row r="20" spans="2:43">
      <c r="B20" s="282" t="s">
        <v>300</v>
      </c>
      <c r="D20" s="19">
        <f t="shared" ref="D20:AP20" si="1">D7/100/D$12*1000</f>
        <v>0</v>
      </c>
      <c r="E20" s="19">
        <f t="shared" si="1"/>
        <v>0</v>
      </c>
      <c r="F20" s="19">
        <f t="shared" si="1"/>
        <v>6.4104579813144581E-3</v>
      </c>
      <c r="G20" s="19">
        <f t="shared" si="1"/>
        <v>6.2533958895300362E-2</v>
      </c>
      <c r="H20" s="19">
        <f t="shared" si="1"/>
        <v>9.4831016406784527E-2</v>
      </c>
      <c r="I20" s="19">
        <f t="shared" si="1"/>
        <v>5.6447559470762E-3</v>
      </c>
      <c r="J20" s="19">
        <f t="shared" si="1"/>
        <v>1.9607013819852053</v>
      </c>
      <c r="K20" s="19">
        <f t="shared" si="1"/>
        <v>2.7961614449320698E-2</v>
      </c>
      <c r="L20" s="19">
        <f t="shared" si="1"/>
        <v>5.468900559964315E-3</v>
      </c>
      <c r="M20" s="19">
        <f t="shared" si="1"/>
        <v>1.4900054155178215</v>
      </c>
      <c r="N20" s="19">
        <f t="shared" si="1"/>
        <v>8.118529877822505E-3</v>
      </c>
      <c r="O20" s="19">
        <f t="shared" si="1"/>
        <v>6.7521163155261545E-3</v>
      </c>
      <c r="P20" s="19">
        <f t="shared" si="1"/>
        <v>6.2117009906381771E-3</v>
      </c>
      <c r="Q20" s="19">
        <f t="shared" si="1"/>
        <v>1.0215890291458446E-2</v>
      </c>
      <c r="R20" s="19">
        <f t="shared" si="1"/>
        <v>9.2902717277482776E-3</v>
      </c>
      <c r="S20" s="19">
        <f t="shared" si="1"/>
        <v>5.0325454587202542E-2</v>
      </c>
      <c r="T20" s="19">
        <f t="shared" si="1"/>
        <v>0</v>
      </c>
      <c r="U20" s="19">
        <f t="shared" si="1"/>
        <v>0</v>
      </c>
      <c r="V20" s="19">
        <f t="shared" si="1"/>
        <v>6.2353831042380639E-2</v>
      </c>
      <c r="W20" s="19">
        <f t="shared" si="1"/>
        <v>7.1211405855241966E-2</v>
      </c>
      <c r="X20" s="19">
        <f t="shared" si="1"/>
        <v>3.6417557679522851E-2</v>
      </c>
      <c r="Y20" s="19">
        <f t="shared" si="1"/>
        <v>0</v>
      </c>
      <c r="Z20" s="19">
        <f t="shared" si="1"/>
        <v>0</v>
      </c>
      <c r="AA20" s="19">
        <f t="shared" si="1"/>
        <v>0</v>
      </c>
      <c r="AB20" s="19">
        <f t="shared" si="1"/>
        <v>0</v>
      </c>
      <c r="AC20" s="19">
        <f t="shared" si="1"/>
        <v>0</v>
      </c>
      <c r="AD20" s="19">
        <f t="shared" si="1"/>
        <v>0</v>
      </c>
      <c r="AE20" s="19">
        <f t="shared" si="1"/>
        <v>0</v>
      </c>
      <c r="AF20" s="19">
        <f t="shared" si="1"/>
        <v>0</v>
      </c>
      <c r="AG20" s="19">
        <f t="shared" si="1"/>
        <v>0</v>
      </c>
      <c r="AH20" s="19">
        <f t="shared" si="1"/>
        <v>0</v>
      </c>
      <c r="AI20" s="19">
        <f t="shared" si="1"/>
        <v>0</v>
      </c>
      <c r="AJ20" s="19">
        <f t="shared" si="1"/>
        <v>0</v>
      </c>
      <c r="AK20" s="19">
        <f t="shared" si="1"/>
        <v>0</v>
      </c>
      <c r="AL20" s="19">
        <f t="shared" si="1"/>
        <v>0</v>
      </c>
      <c r="AM20" s="19">
        <f t="shared" si="1"/>
        <v>0</v>
      </c>
      <c r="AN20" s="19">
        <f t="shared" si="1"/>
        <v>0</v>
      </c>
      <c r="AO20" s="19">
        <f t="shared" si="1"/>
        <v>0</v>
      </c>
      <c r="AP20" s="298">
        <f t="shared" si="1"/>
        <v>0</v>
      </c>
      <c r="AQ20" s="22">
        <f>SUM(D20:AP20)</f>
        <v>3.9144542601103289</v>
      </c>
    </row>
    <row r="21" spans="2:43">
      <c r="B21" s="29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298"/>
    </row>
    <row r="22" spans="2:43">
      <c r="B22" s="282" t="s">
        <v>301</v>
      </c>
      <c r="D22" s="19">
        <f t="shared" ref="D22:AP22" si="2">D9/100/D$12*1000</f>
        <v>0</v>
      </c>
      <c r="E22" s="19">
        <f t="shared" si="2"/>
        <v>0</v>
      </c>
      <c r="F22" s="19">
        <f t="shared" si="2"/>
        <v>6.841798238406434E-3</v>
      </c>
      <c r="G22" s="19">
        <f t="shared" si="2"/>
        <v>4.7347328905659999E-2</v>
      </c>
      <c r="H22" s="19">
        <f t="shared" si="2"/>
        <v>0.11375058141800481</v>
      </c>
      <c r="I22" s="19">
        <f t="shared" si="2"/>
        <v>5.6574765823902157E-3</v>
      </c>
      <c r="J22" s="19">
        <f t="shared" si="2"/>
        <v>1.799843299202341</v>
      </c>
      <c r="K22" s="19">
        <f t="shared" si="2"/>
        <v>2.9615977393150337E-2</v>
      </c>
      <c r="L22" s="19">
        <f t="shared" si="2"/>
        <v>5.6727240285979162E-3</v>
      </c>
      <c r="M22" s="19">
        <f t="shared" si="2"/>
        <v>1.6067366182039047</v>
      </c>
      <c r="N22" s="19">
        <f t="shared" si="2"/>
        <v>8.2609523254414743E-3</v>
      </c>
      <c r="O22" s="19">
        <f t="shared" si="2"/>
        <v>2.9446869698242138E-2</v>
      </c>
      <c r="P22" s="19">
        <f t="shared" si="2"/>
        <v>7.4111338433683191E-3</v>
      </c>
      <c r="Q22" s="19">
        <f t="shared" si="2"/>
        <v>1.1137940138505999E-2</v>
      </c>
      <c r="R22" s="19">
        <f t="shared" si="2"/>
        <v>7.4244410602323715E-3</v>
      </c>
      <c r="S22" s="19">
        <f t="shared" si="2"/>
        <v>5.7309638451949009E-2</v>
      </c>
      <c r="T22" s="19">
        <f t="shared" si="2"/>
        <v>0</v>
      </c>
      <c r="U22" s="19">
        <f t="shared" si="2"/>
        <v>0</v>
      </c>
      <c r="V22" s="19">
        <f t="shared" si="2"/>
        <v>2.7019075076310576E-2</v>
      </c>
      <c r="W22" s="19">
        <f t="shared" si="2"/>
        <v>6.2092180704102086E-2</v>
      </c>
      <c r="X22" s="19">
        <f t="shared" si="2"/>
        <v>9.0252009860202098E-2</v>
      </c>
      <c r="Y22" s="19">
        <f t="shared" si="2"/>
        <v>0</v>
      </c>
      <c r="Z22" s="19">
        <f t="shared" si="2"/>
        <v>0</v>
      </c>
      <c r="AA22" s="19">
        <f t="shared" si="2"/>
        <v>0</v>
      </c>
      <c r="AB22" s="19">
        <f t="shared" si="2"/>
        <v>0</v>
      </c>
      <c r="AC22" s="19">
        <f t="shared" si="2"/>
        <v>0</v>
      </c>
      <c r="AD22" s="19">
        <f t="shared" si="2"/>
        <v>0</v>
      </c>
      <c r="AE22" s="19">
        <f t="shared" si="2"/>
        <v>0</v>
      </c>
      <c r="AF22" s="19">
        <f t="shared" si="2"/>
        <v>0</v>
      </c>
      <c r="AG22" s="19">
        <f t="shared" si="2"/>
        <v>0</v>
      </c>
      <c r="AH22" s="19">
        <f t="shared" si="2"/>
        <v>0</v>
      </c>
      <c r="AI22" s="19">
        <f t="shared" si="2"/>
        <v>0</v>
      </c>
      <c r="AJ22" s="19">
        <f t="shared" si="2"/>
        <v>0</v>
      </c>
      <c r="AK22" s="19">
        <f t="shared" si="2"/>
        <v>0</v>
      </c>
      <c r="AL22" s="19">
        <f t="shared" si="2"/>
        <v>0</v>
      </c>
      <c r="AM22" s="19">
        <f t="shared" si="2"/>
        <v>0</v>
      </c>
      <c r="AN22" s="19">
        <f t="shared" si="2"/>
        <v>0</v>
      </c>
      <c r="AO22" s="19">
        <f t="shared" si="2"/>
        <v>0</v>
      </c>
      <c r="AP22" s="298">
        <f t="shared" si="2"/>
        <v>0</v>
      </c>
      <c r="AQ22" s="22">
        <f>SUM(D22:AP22)</f>
        <v>3.9158200451308094</v>
      </c>
    </row>
    <row r="23" spans="2:43" ht="15" thickBot="1">
      <c r="B23" s="300"/>
      <c r="C23" s="45"/>
      <c r="D23" s="286"/>
      <c r="E23" s="286"/>
      <c r="F23" s="286"/>
      <c r="G23" s="286"/>
      <c r="H23" s="286"/>
      <c r="I23" s="286"/>
      <c r="J23" s="286"/>
      <c r="K23" s="286"/>
      <c r="L23" s="286"/>
      <c r="M23" s="286"/>
      <c r="N23" s="286"/>
      <c r="O23" s="286"/>
      <c r="P23" s="286"/>
      <c r="Q23" s="286"/>
      <c r="R23" s="286"/>
      <c r="S23" s="286"/>
      <c r="T23" s="286"/>
      <c r="U23" s="286"/>
      <c r="V23" s="286"/>
      <c r="W23" s="286"/>
      <c r="X23" s="286"/>
      <c r="Y23" s="286"/>
      <c r="Z23" s="286"/>
      <c r="AA23" s="286"/>
      <c r="AB23" s="286"/>
      <c r="AC23" s="286"/>
      <c r="AD23" s="286"/>
      <c r="AE23" s="286"/>
      <c r="AF23" s="286"/>
      <c r="AG23" s="286"/>
      <c r="AH23" s="286"/>
      <c r="AI23" s="286"/>
      <c r="AJ23" s="286"/>
      <c r="AK23" s="286"/>
      <c r="AL23" s="286"/>
      <c r="AM23" s="286"/>
      <c r="AN23" s="286"/>
      <c r="AO23" s="286"/>
      <c r="AP23" s="301"/>
    </row>
    <row r="34" spans="2:37">
      <c r="B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</row>
    <row r="35" spans="2:37" ht="15" thickBot="1">
      <c r="B35" s="19"/>
      <c r="D35" s="19"/>
      <c r="E35" s="391" t="s">
        <v>250</v>
      </c>
      <c r="F35" s="391"/>
      <c r="G35" s="391"/>
      <c r="H35" s="19"/>
      <c r="I35" s="19"/>
      <c r="J35" s="19"/>
      <c r="K35" s="19"/>
      <c r="L35" s="19"/>
      <c r="M35" s="19"/>
      <c r="N35" s="19"/>
      <c r="O35" s="19"/>
      <c r="P35" s="19">
        <f t="shared" ref="P35:U35" si="3">SUMPRODUCT(P37:P47,$AF53:$AF63)</f>
        <v>1.7314316307767872</v>
      </c>
      <c r="Q35" s="19">
        <f t="shared" si="3"/>
        <v>2.3302576046116016E-2</v>
      </c>
      <c r="R35" s="19">
        <f t="shared" si="3"/>
        <v>5.727588230638769E-3</v>
      </c>
      <c r="S35" s="19">
        <f t="shared" si="3"/>
        <v>1.2992380796985779</v>
      </c>
      <c r="T35" s="19">
        <f t="shared" si="3"/>
        <v>7.5302478157640729E-3</v>
      </c>
      <c r="U35" s="19">
        <f t="shared" si="3"/>
        <v>7.4118702927731409E-3</v>
      </c>
      <c r="V35" s="19"/>
      <c r="W35" s="19"/>
      <c r="X35" s="19"/>
      <c r="Y35" s="19"/>
      <c r="Z35" s="19"/>
      <c r="AA35" s="19"/>
      <c r="AB35" s="19"/>
      <c r="AC35" s="19">
        <f>SUMPRODUCT(AC37:AC47,$AF53:$AF63)</f>
        <v>3.5815334237169073E-2</v>
      </c>
      <c r="AD35" s="19">
        <f>SUMPRODUCT(AD37:AD47,$AF53:$AF63)</f>
        <v>2.5113907603636194E-2</v>
      </c>
      <c r="AE35" s="19"/>
      <c r="AF35" s="19"/>
      <c r="AG35" s="19"/>
      <c r="AH35" s="19"/>
      <c r="AI35" s="19"/>
      <c r="AJ35" s="19"/>
      <c r="AK35" s="19"/>
    </row>
    <row r="36" spans="2:37">
      <c r="B36" s="19"/>
      <c r="D36" s="262"/>
      <c r="E36" s="303">
        <v>7942</v>
      </c>
      <c r="F36" s="303" t="s">
        <v>302</v>
      </c>
      <c r="G36" s="303" t="s">
        <v>214</v>
      </c>
      <c r="H36" s="19"/>
      <c r="I36" s="19"/>
      <c r="J36" s="304"/>
      <c r="K36" s="25"/>
      <c r="L36" s="25" t="s">
        <v>32</v>
      </c>
      <c r="M36" s="25" t="s">
        <v>33</v>
      </c>
      <c r="N36" s="25" t="s">
        <v>34</v>
      </c>
      <c r="O36" s="25" t="s">
        <v>35</v>
      </c>
      <c r="P36" s="25" t="s">
        <v>36</v>
      </c>
      <c r="Q36" s="25" t="s">
        <v>37</v>
      </c>
      <c r="R36" s="25" t="s">
        <v>38</v>
      </c>
      <c r="S36" s="25" t="s">
        <v>39</v>
      </c>
      <c r="T36" s="25" t="s">
        <v>40</v>
      </c>
      <c r="U36" s="25" t="s">
        <v>41</v>
      </c>
      <c r="V36" s="25" t="s">
        <v>42</v>
      </c>
      <c r="W36" s="25" t="s">
        <v>43</v>
      </c>
      <c r="X36" s="25" t="s">
        <v>44</v>
      </c>
      <c r="Y36" s="25" t="s">
        <v>45</v>
      </c>
      <c r="Z36" s="25" t="s">
        <v>46</v>
      </c>
      <c r="AA36" s="25" t="s">
        <v>47</v>
      </c>
      <c r="AB36" s="25" t="s">
        <v>48</v>
      </c>
      <c r="AC36" s="25" t="s">
        <v>49</v>
      </c>
      <c r="AD36" s="25" t="s">
        <v>50</v>
      </c>
      <c r="AE36" s="305" t="s">
        <v>230</v>
      </c>
      <c r="AF36" s="19"/>
      <c r="AG36" s="19"/>
      <c r="AH36" s="19"/>
      <c r="AI36" s="19"/>
      <c r="AJ36" s="19"/>
      <c r="AK36" s="19"/>
    </row>
    <row r="37" spans="2:37">
      <c r="B37" s="19"/>
      <c r="D37" s="262" t="s">
        <v>32</v>
      </c>
      <c r="E37" s="262">
        <f>F18</f>
        <v>9.3232071474859696E-3</v>
      </c>
      <c r="F37" s="262">
        <f>F20</f>
        <v>6.4104579813144581E-3</v>
      </c>
      <c r="G37" s="262">
        <f>F22</f>
        <v>6.841798238406434E-3</v>
      </c>
      <c r="H37" s="19"/>
      <c r="I37" s="19"/>
      <c r="J37" s="235" t="s">
        <v>251</v>
      </c>
      <c r="K37" s="1" t="s">
        <v>252</v>
      </c>
      <c r="L37" s="3"/>
      <c r="M37" s="3"/>
      <c r="N37" s="3"/>
      <c r="O37" s="3"/>
      <c r="P37" s="3">
        <v>2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06">
        <f t="shared" ref="AE37:AE49" si="4">SUM(L37:AD37)</f>
        <v>2</v>
      </c>
      <c r="AF37" s="19"/>
      <c r="AG37" s="19"/>
      <c r="AH37" s="19"/>
      <c r="AI37" s="19"/>
      <c r="AJ37" s="19"/>
      <c r="AK37" s="19"/>
    </row>
    <row r="38" spans="2:37">
      <c r="B38" s="19"/>
      <c r="D38" s="262" t="s">
        <v>33</v>
      </c>
      <c r="E38" s="262">
        <f>G18</f>
        <v>0.10150290357824694</v>
      </c>
      <c r="F38" s="262">
        <f>G20</f>
        <v>6.2533958895300362E-2</v>
      </c>
      <c r="G38" s="262">
        <f>G22</f>
        <v>4.7347328905659999E-2</v>
      </c>
      <c r="H38" s="19"/>
      <c r="I38" s="19"/>
      <c r="J38" s="235" t="s">
        <v>253</v>
      </c>
      <c r="K38" s="307" t="s">
        <v>254</v>
      </c>
      <c r="L38" s="3"/>
      <c r="M38" s="3"/>
      <c r="N38" s="3"/>
      <c r="O38" s="3"/>
      <c r="P38" s="3">
        <v>1</v>
      </c>
      <c r="Q38" s="3">
        <f>Q43</f>
        <v>1.7348418910321812E-2</v>
      </c>
      <c r="R38" s="3">
        <f t="shared" ref="R38:U38" si="5">R43</f>
        <v>4.2641036670927187E-3</v>
      </c>
      <c r="S38" s="3">
        <f t="shared" si="5"/>
        <v>0.96726329424895663</v>
      </c>
      <c r="T38" s="3">
        <f t="shared" si="5"/>
        <v>5.6061567333962276E-3</v>
      </c>
      <c r="U38" s="3">
        <f t="shared" si="5"/>
        <v>5.5180264402325575E-3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06">
        <f t="shared" si="4"/>
        <v>2</v>
      </c>
      <c r="AF38" s="19"/>
      <c r="AG38" s="19"/>
      <c r="AH38" s="19"/>
      <c r="AI38" s="19"/>
      <c r="AJ38" s="19"/>
      <c r="AK38" s="19"/>
    </row>
    <row r="39" spans="2:37">
      <c r="B39" s="19"/>
      <c r="D39" s="262" t="s">
        <v>34</v>
      </c>
      <c r="E39" s="262">
        <f>H18</f>
        <v>0.17719330499781005</v>
      </c>
      <c r="F39" s="262">
        <f>H20</f>
        <v>9.4831016406784527E-2</v>
      </c>
      <c r="G39" s="262">
        <f>H22</f>
        <v>0.11375058141800481</v>
      </c>
      <c r="H39" s="19"/>
      <c r="I39" s="19"/>
      <c r="J39" s="235" t="s">
        <v>255</v>
      </c>
      <c r="K39" s="1" t="s">
        <v>256</v>
      </c>
      <c r="L39" s="3"/>
      <c r="M39" s="3"/>
      <c r="N39" s="3"/>
      <c r="O39" s="3"/>
      <c r="P39" s="3">
        <v>1</v>
      </c>
      <c r="Q39" s="3">
        <f>Q43</f>
        <v>1.7348418910321812E-2</v>
      </c>
      <c r="R39" s="3">
        <f t="shared" ref="R39:U39" si="6">R43</f>
        <v>4.2641036670927187E-3</v>
      </c>
      <c r="S39" s="3">
        <f t="shared" si="6"/>
        <v>0.96726329424895663</v>
      </c>
      <c r="T39" s="3">
        <f t="shared" si="6"/>
        <v>5.6061567333962276E-3</v>
      </c>
      <c r="U39" s="3">
        <f t="shared" si="6"/>
        <v>5.5180264402325575E-3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06">
        <f t="shared" si="4"/>
        <v>2</v>
      </c>
      <c r="AF39" s="19"/>
      <c r="AG39" s="19"/>
      <c r="AH39" s="19"/>
      <c r="AI39" s="19"/>
      <c r="AJ39" s="19"/>
      <c r="AK39" s="19"/>
    </row>
    <row r="40" spans="2:37">
      <c r="B40" s="19"/>
      <c r="D40" s="262" t="s">
        <v>35</v>
      </c>
      <c r="E40" s="262">
        <f>I18</f>
        <v>6.624744962244483E-3</v>
      </c>
      <c r="F40" s="262">
        <f>I20</f>
        <v>5.6447559470762E-3</v>
      </c>
      <c r="G40" s="262">
        <f>I22</f>
        <v>5.6574765823902157E-3</v>
      </c>
      <c r="H40" s="19"/>
      <c r="I40" s="19"/>
      <c r="J40" s="235" t="s">
        <v>257</v>
      </c>
      <c r="K40" s="1" t="s">
        <v>258</v>
      </c>
      <c r="L40" s="3"/>
      <c r="M40" s="3"/>
      <c r="N40" s="3"/>
      <c r="O40" s="3"/>
      <c r="P40" s="3">
        <v>1</v>
      </c>
      <c r="Q40" s="3">
        <f>Q43</f>
        <v>1.7348418910321812E-2</v>
      </c>
      <c r="R40" s="3">
        <f t="shared" ref="R40:U40" si="7">R43</f>
        <v>4.2641036670927187E-3</v>
      </c>
      <c r="S40" s="3">
        <f t="shared" si="7"/>
        <v>0.96726329424895663</v>
      </c>
      <c r="T40" s="3">
        <f t="shared" si="7"/>
        <v>5.6061567333962276E-3</v>
      </c>
      <c r="U40" s="3">
        <f t="shared" si="7"/>
        <v>5.5180264402325575E-3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06">
        <f t="shared" si="4"/>
        <v>2</v>
      </c>
      <c r="AF40" s="19"/>
      <c r="AG40" s="19"/>
      <c r="AH40" s="19"/>
      <c r="AI40" s="19"/>
      <c r="AJ40" s="19"/>
      <c r="AK40" s="19"/>
    </row>
    <row r="41" spans="2:37">
      <c r="B41" s="19"/>
      <c r="D41" s="262" t="s">
        <v>36</v>
      </c>
      <c r="E41" s="262">
        <f>J18</f>
        <v>1.944137283712897</v>
      </c>
      <c r="F41" s="262">
        <f>J20</f>
        <v>1.9607013819852053</v>
      </c>
      <c r="G41" s="262">
        <f>J22</f>
        <v>1.799843299202341</v>
      </c>
      <c r="H41" s="19"/>
      <c r="I41" s="19"/>
      <c r="J41" s="235" t="s">
        <v>259</v>
      </c>
      <c r="K41" s="308" t="s">
        <v>260</v>
      </c>
      <c r="L41" s="3"/>
      <c r="M41" s="3"/>
      <c r="N41" s="3"/>
      <c r="O41" s="3"/>
      <c r="P41" s="3">
        <v>2</v>
      </c>
      <c r="Q41" s="3"/>
      <c r="R41" s="3"/>
      <c r="S41" s="3"/>
      <c r="T41" s="3"/>
      <c r="U41" s="3"/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06">
        <f t="shared" si="4"/>
        <v>2</v>
      </c>
      <c r="AF41" s="19"/>
      <c r="AG41" s="19"/>
      <c r="AH41" s="19"/>
      <c r="AI41" s="19"/>
      <c r="AJ41" s="19"/>
      <c r="AK41" s="19"/>
    </row>
    <row r="42" spans="2:37">
      <c r="B42" s="19"/>
      <c r="D42" s="262" t="s">
        <v>37</v>
      </c>
      <c r="E42" s="262">
        <f>K18</f>
        <v>2.6605605870665596E-2</v>
      </c>
      <c r="F42" s="262">
        <f>K20</f>
        <v>2.7961614449320698E-2</v>
      </c>
      <c r="G42" s="262">
        <f>K22</f>
        <v>2.9615977393150337E-2</v>
      </c>
      <c r="H42" s="19"/>
      <c r="I42" s="19"/>
      <c r="J42" s="235" t="s">
        <v>261</v>
      </c>
      <c r="K42" s="308" t="s">
        <v>262</v>
      </c>
      <c r="L42" s="3"/>
      <c r="M42" s="3"/>
      <c r="N42" s="3"/>
      <c r="O42" s="3"/>
      <c r="P42" s="3">
        <v>2</v>
      </c>
      <c r="Q42" s="3"/>
      <c r="R42" s="3"/>
      <c r="S42" s="3"/>
      <c r="T42" s="3"/>
      <c r="U42" s="3"/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06">
        <f t="shared" si="4"/>
        <v>2</v>
      </c>
      <c r="AF42" s="19"/>
      <c r="AG42" s="19"/>
      <c r="AH42" s="19"/>
      <c r="AI42" s="19"/>
      <c r="AJ42" s="19"/>
      <c r="AK42" s="19"/>
    </row>
    <row r="43" spans="2:37">
      <c r="B43" s="19"/>
      <c r="D43" s="262" t="s">
        <v>38</v>
      </c>
      <c r="E43" s="262">
        <f>L18</f>
        <v>6.5394467440966506E-3</v>
      </c>
      <c r="F43" s="262">
        <f>L20</f>
        <v>5.468900559964315E-3</v>
      </c>
      <c r="G43" s="262">
        <f>L22</f>
        <v>5.6727240285979162E-3</v>
      </c>
      <c r="H43" s="19"/>
      <c r="I43" s="19"/>
      <c r="J43" s="309" t="s">
        <v>263</v>
      </c>
      <c r="K43" s="1" t="s">
        <v>264</v>
      </c>
      <c r="L43" s="3"/>
      <c r="M43" s="3"/>
      <c r="N43" s="3"/>
      <c r="O43" s="3"/>
      <c r="P43" s="3">
        <v>0</v>
      </c>
      <c r="Q43" s="3">
        <f>1*E42/E59</f>
        <v>1.7348418910321812E-2</v>
      </c>
      <c r="R43" s="3">
        <f>1*E43/E59</f>
        <v>4.2641036670927187E-3</v>
      </c>
      <c r="S43" s="3">
        <f>1*E44/E59</f>
        <v>0.96726329424895663</v>
      </c>
      <c r="T43" s="3">
        <f>1*E45/E59</f>
        <v>5.6061567333962276E-3</v>
      </c>
      <c r="U43" s="3">
        <f>1*E46/E59</f>
        <v>5.5180264402325575E-3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f>1*E54/E60</f>
        <v>0.58781847853526026</v>
      </c>
      <c r="AD43" s="3">
        <f>1*E55/E60</f>
        <v>0.41218152146473974</v>
      </c>
      <c r="AE43" s="306">
        <f t="shared" si="4"/>
        <v>2</v>
      </c>
      <c r="AF43" s="19"/>
      <c r="AG43" s="19"/>
      <c r="AH43" s="19"/>
      <c r="AI43" s="19"/>
      <c r="AJ43" s="19"/>
      <c r="AK43" s="19"/>
    </row>
    <row r="44" spans="2:37">
      <c r="B44" s="19"/>
      <c r="D44" s="262" t="s">
        <v>39</v>
      </c>
      <c r="E44" s="262">
        <f>M18</f>
        <v>1.4833989260334277</v>
      </c>
      <c r="F44" s="262">
        <f>M20</f>
        <v>1.4900054155178215</v>
      </c>
      <c r="G44" s="262">
        <f>M22</f>
        <v>1.6067366182039047</v>
      </c>
      <c r="H44" s="19"/>
      <c r="I44" s="19"/>
      <c r="J44" s="309" t="s">
        <v>265</v>
      </c>
      <c r="K44" s="1" t="s">
        <v>266</v>
      </c>
      <c r="L44" s="3"/>
      <c r="M44" s="3"/>
      <c r="N44" s="3"/>
      <c r="O44" s="3"/>
      <c r="P44" s="3">
        <v>0</v>
      </c>
      <c r="Q44" s="3">
        <f>Q43</f>
        <v>1.7348418910321812E-2</v>
      </c>
      <c r="R44" s="3">
        <f t="shared" ref="R44:U44" si="8">R43</f>
        <v>4.2641036670927187E-3</v>
      </c>
      <c r="S44" s="3">
        <f t="shared" si="8"/>
        <v>0.96726329424895663</v>
      </c>
      <c r="T44" s="3">
        <f t="shared" si="8"/>
        <v>5.6061567333962276E-3</v>
      </c>
      <c r="U44" s="3">
        <f t="shared" si="8"/>
        <v>5.5180264402325575E-3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f t="shared" ref="AC44:AD47" si="9">AC43</f>
        <v>0.58781847853526026</v>
      </c>
      <c r="AD44" s="3">
        <f t="shared" si="9"/>
        <v>0.41218152146473974</v>
      </c>
      <c r="AE44" s="306">
        <f t="shared" si="4"/>
        <v>2</v>
      </c>
      <c r="AF44" s="19"/>
      <c r="AG44" s="19"/>
      <c r="AH44" s="19"/>
      <c r="AI44" s="19"/>
      <c r="AJ44" s="19"/>
      <c r="AK44" s="19"/>
    </row>
    <row r="45" spans="2:37">
      <c r="B45" s="19"/>
      <c r="D45" s="262" t="s">
        <v>40</v>
      </c>
      <c r="E45" s="262">
        <f>N18</f>
        <v>8.597624790416784E-3</v>
      </c>
      <c r="F45" s="262">
        <f>N20</f>
        <v>8.118529877822505E-3</v>
      </c>
      <c r="G45" s="262">
        <f>N22</f>
        <v>8.2609523254414743E-3</v>
      </c>
      <c r="H45" s="19"/>
      <c r="I45" s="19"/>
      <c r="J45" s="309" t="s">
        <v>267</v>
      </c>
      <c r="K45" s="1" t="s">
        <v>268</v>
      </c>
      <c r="L45" s="3"/>
      <c r="M45" s="3"/>
      <c r="N45" s="3"/>
      <c r="O45" s="3"/>
      <c r="P45" s="3">
        <v>1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f t="shared" si="9"/>
        <v>0.58781847853526026</v>
      </c>
      <c r="AD45" s="3">
        <f t="shared" si="9"/>
        <v>0.41218152146473974</v>
      </c>
      <c r="AE45" s="306">
        <f t="shared" si="4"/>
        <v>2</v>
      </c>
      <c r="AF45" s="19"/>
      <c r="AG45" s="19"/>
      <c r="AH45" s="19"/>
      <c r="AI45" s="19"/>
      <c r="AJ45" s="19"/>
      <c r="AK45" s="19"/>
    </row>
    <row r="46" spans="2:37">
      <c r="B46" s="19"/>
      <c r="D46" s="262" t="s">
        <v>41</v>
      </c>
      <c r="E46" s="262">
        <f>O18</f>
        <v>8.4624678140202917E-3</v>
      </c>
      <c r="F46" s="262">
        <f>O20</f>
        <v>6.7521163155261545E-3</v>
      </c>
      <c r="G46" s="262">
        <f>O22</f>
        <v>2.9446869698242138E-2</v>
      </c>
      <c r="H46" s="19"/>
      <c r="I46" s="19"/>
      <c r="J46" s="309" t="s">
        <v>269</v>
      </c>
      <c r="K46" s="1" t="s">
        <v>270</v>
      </c>
      <c r="L46" s="3"/>
      <c r="M46" s="3"/>
      <c r="N46" s="3"/>
      <c r="O46" s="3"/>
      <c r="P46" s="3">
        <v>1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f t="shared" si="9"/>
        <v>0.58781847853526026</v>
      </c>
      <c r="AD46" s="3">
        <f t="shared" si="9"/>
        <v>0.41218152146473974</v>
      </c>
      <c r="AE46" s="306">
        <f t="shared" si="4"/>
        <v>2</v>
      </c>
      <c r="AF46" s="19"/>
      <c r="AG46" s="19"/>
      <c r="AH46" s="19"/>
      <c r="AI46" s="19"/>
      <c r="AJ46" s="19"/>
      <c r="AK46" s="19"/>
    </row>
    <row r="47" spans="2:37">
      <c r="B47" s="19"/>
      <c r="D47" s="262" t="s">
        <v>42</v>
      </c>
      <c r="E47" s="262">
        <f>P18</f>
        <v>6.6945106054391249E-3</v>
      </c>
      <c r="F47" s="262">
        <f>P20</f>
        <v>6.2117009906381771E-3</v>
      </c>
      <c r="G47" s="262">
        <f>P22</f>
        <v>7.4111338433683191E-3</v>
      </c>
      <c r="H47" s="19"/>
      <c r="I47" s="19"/>
      <c r="J47" s="309" t="s">
        <v>271</v>
      </c>
      <c r="K47" s="1" t="s">
        <v>272</v>
      </c>
      <c r="L47" s="3"/>
      <c r="M47" s="3"/>
      <c r="N47" s="3"/>
      <c r="O47" s="3"/>
      <c r="P47" s="3">
        <v>1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f t="shared" si="9"/>
        <v>0.58781847853526026</v>
      </c>
      <c r="AD47" s="3">
        <f t="shared" si="9"/>
        <v>0.41218152146473974</v>
      </c>
      <c r="AE47" s="306">
        <f t="shared" si="4"/>
        <v>2</v>
      </c>
      <c r="AF47" s="19"/>
      <c r="AG47" s="19"/>
      <c r="AH47" s="19"/>
      <c r="AI47" s="19"/>
      <c r="AJ47" s="19"/>
      <c r="AK47" s="19"/>
    </row>
    <row r="48" spans="2:37">
      <c r="B48" s="19"/>
      <c r="D48" s="262" t="s">
        <v>43</v>
      </c>
      <c r="E48" s="262">
        <f>Q18</f>
        <v>1.0365337069565491E-2</v>
      </c>
      <c r="F48" s="262">
        <f>Q20</f>
        <v>1.0215890291458446E-2</v>
      </c>
      <c r="G48" s="262">
        <f>Q22</f>
        <v>1.1137940138505999E-2</v>
      </c>
      <c r="H48" s="19"/>
      <c r="I48" s="19"/>
      <c r="J48" s="310" t="s">
        <v>273</v>
      </c>
      <c r="K48" s="311" t="s">
        <v>274</v>
      </c>
      <c r="L48" s="312"/>
      <c r="M48" s="312"/>
      <c r="N48" s="312"/>
      <c r="O48" s="312"/>
      <c r="P48" s="312">
        <v>1</v>
      </c>
      <c r="Q48" s="312">
        <f>Q44</f>
        <v>1.7348418910321812E-2</v>
      </c>
      <c r="R48" s="312">
        <f t="shared" ref="R48:U48" si="10">R44</f>
        <v>4.2641036670927187E-3</v>
      </c>
      <c r="S48" s="312">
        <f t="shared" si="10"/>
        <v>0.96726329424895663</v>
      </c>
      <c r="T48" s="312">
        <f t="shared" si="10"/>
        <v>5.6061567333962276E-3</v>
      </c>
      <c r="U48" s="312">
        <f t="shared" si="10"/>
        <v>5.5180264402325575E-3</v>
      </c>
      <c r="V48" s="312">
        <v>0</v>
      </c>
      <c r="W48" s="312">
        <v>0</v>
      </c>
      <c r="X48" s="312">
        <v>0</v>
      </c>
      <c r="Y48" s="312">
        <v>0</v>
      </c>
      <c r="Z48" s="312">
        <v>0</v>
      </c>
      <c r="AA48" s="312">
        <v>0</v>
      </c>
      <c r="AB48" s="312">
        <v>0</v>
      </c>
      <c r="AC48" s="312">
        <v>0</v>
      </c>
      <c r="AD48" s="312">
        <v>0</v>
      </c>
      <c r="AE48" s="313">
        <f t="shared" si="4"/>
        <v>2</v>
      </c>
      <c r="AF48" s="19"/>
      <c r="AG48" s="19"/>
      <c r="AH48" s="19"/>
      <c r="AI48" s="19"/>
      <c r="AJ48" s="19"/>
      <c r="AK48" s="19"/>
    </row>
    <row r="49" spans="1:37" ht="15" thickBot="1">
      <c r="B49" s="19"/>
      <c r="D49" s="262" t="s">
        <v>44</v>
      </c>
      <c r="E49" s="262">
        <f>R18</f>
        <v>7.5191788844641725E-3</v>
      </c>
      <c r="F49" s="262">
        <f>R20</f>
        <v>9.2902717277482776E-3</v>
      </c>
      <c r="G49" s="262">
        <f>R22</f>
        <v>7.4244410602323715E-3</v>
      </c>
      <c r="H49" s="19"/>
      <c r="I49" s="19"/>
      <c r="J49" s="185" t="s">
        <v>275</v>
      </c>
      <c r="K49" s="314" t="s">
        <v>276</v>
      </c>
      <c r="L49" s="26"/>
      <c r="M49" s="26"/>
      <c r="N49" s="26"/>
      <c r="O49" s="26"/>
      <c r="P49" s="26">
        <v>2</v>
      </c>
      <c r="Q49" s="26">
        <v>0</v>
      </c>
      <c r="R49" s="26">
        <v>0</v>
      </c>
      <c r="S49" s="26">
        <v>0</v>
      </c>
      <c r="T49" s="26">
        <v>0</v>
      </c>
      <c r="U49" s="26">
        <v>0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26">
        <v>0</v>
      </c>
      <c r="AE49" s="315">
        <f t="shared" si="4"/>
        <v>2</v>
      </c>
      <c r="AF49" s="19"/>
      <c r="AG49" s="19"/>
      <c r="AH49" s="19"/>
      <c r="AI49" s="19"/>
      <c r="AJ49" s="19"/>
      <c r="AK49" s="19"/>
    </row>
    <row r="50" spans="1:37">
      <c r="B50" s="19"/>
      <c r="D50" s="262" t="s">
        <v>45</v>
      </c>
      <c r="E50" s="262">
        <f>S18</f>
        <v>4.7521743606360273E-2</v>
      </c>
      <c r="F50" s="262">
        <f>S20</f>
        <v>5.0325454587202542E-2</v>
      </c>
      <c r="G50" s="262">
        <f>S22</f>
        <v>5.7309638451949009E-2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</row>
    <row r="51" spans="1:37" ht="15" thickBot="1">
      <c r="B51" s="19"/>
      <c r="D51" s="262" t="s">
        <v>46</v>
      </c>
      <c r="E51" s="262">
        <f>T18</f>
        <v>0</v>
      </c>
      <c r="F51" s="262">
        <f>T20</f>
        <v>0</v>
      </c>
      <c r="G51" s="262">
        <f>T22</f>
        <v>0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37" ht="15" thickBot="1">
      <c r="B52" s="19"/>
      <c r="D52" s="262" t="s">
        <v>47</v>
      </c>
      <c r="E52" s="262">
        <f>U18</f>
        <v>0</v>
      </c>
      <c r="F52" s="262">
        <f>U20</f>
        <v>0</v>
      </c>
      <c r="G52" s="262">
        <f>U22</f>
        <v>0</v>
      </c>
      <c r="H52" s="19"/>
      <c r="I52" s="19"/>
      <c r="J52" s="19"/>
      <c r="K52" s="186">
        <v>7942</v>
      </c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305"/>
      <c r="AE52" s="316"/>
      <c r="AF52" s="317" t="s">
        <v>277</v>
      </c>
      <c r="AG52" s="19"/>
      <c r="AH52" s="318" t="s">
        <v>71</v>
      </c>
      <c r="AI52" s="19"/>
      <c r="AJ52" s="19" t="s">
        <v>75</v>
      </c>
      <c r="AK52" s="19"/>
    </row>
    <row r="53" spans="1:37">
      <c r="B53" s="19"/>
      <c r="D53" s="262" t="s">
        <v>48</v>
      </c>
      <c r="E53" s="262">
        <f>V18</f>
        <v>3.8257855214410032E-2</v>
      </c>
      <c r="F53" s="262">
        <f>V20</f>
        <v>6.2353831042380639E-2</v>
      </c>
      <c r="G53" s="262">
        <f>V22</f>
        <v>2.7019075076310576E-2</v>
      </c>
      <c r="H53" s="19"/>
      <c r="I53" s="19"/>
      <c r="J53" s="235" t="s">
        <v>251</v>
      </c>
      <c r="K53" s="20" t="s">
        <v>252</v>
      </c>
      <c r="L53" s="3"/>
      <c r="M53" s="3"/>
      <c r="N53" s="3"/>
      <c r="O53" s="3"/>
      <c r="P53" s="3">
        <f>P37*AF53</f>
        <v>4.625034581534436E-2</v>
      </c>
      <c r="Q53" s="3">
        <f>Q37*$AF53</f>
        <v>0</v>
      </c>
      <c r="R53" s="3">
        <f t="shared" ref="R53:U53" si="11">R37*$AF53</f>
        <v>0</v>
      </c>
      <c r="S53" s="3">
        <f t="shared" si="11"/>
        <v>0</v>
      </c>
      <c r="T53" s="3">
        <f t="shared" si="11"/>
        <v>0</v>
      </c>
      <c r="U53" s="3">
        <f t="shared" si="11"/>
        <v>0</v>
      </c>
      <c r="V53" s="3"/>
      <c r="W53" s="3"/>
      <c r="X53" s="3"/>
      <c r="Y53" s="3"/>
      <c r="Z53" s="3"/>
      <c r="AA53" s="3"/>
      <c r="AB53" s="3"/>
      <c r="AC53" s="3">
        <f>AC37*$AF53</f>
        <v>0</v>
      </c>
      <c r="AD53" s="306">
        <f>AD37*$AF53</f>
        <v>0</v>
      </c>
      <c r="AE53" s="19">
        <v>2.3E-2</v>
      </c>
      <c r="AF53" s="319">
        <f t="shared" ref="AF53:AF65" si="12">AE53*(E$57/2)/AE$66</f>
        <v>2.312517290767218E-2</v>
      </c>
      <c r="AG53" s="19"/>
      <c r="AH53" s="320">
        <f>AF53*'[1]BOF_Composition Norm'!$M$11</f>
        <v>1.8619235586086566E-3</v>
      </c>
      <c r="AI53" s="19"/>
      <c r="AJ53" s="19">
        <f>SUMPRODUCT(P53:AD53,P$12:AD$12)/AF53</f>
        <v>508.86399999999998</v>
      </c>
      <c r="AK53" s="19"/>
    </row>
    <row r="54" spans="1:37">
      <c r="B54" s="19"/>
      <c r="D54" s="262" t="s">
        <v>49</v>
      </c>
      <c r="E54" s="262">
        <f>W18</f>
        <v>3.1957160410874784E-2</v>
      </c>
      <c r="F54" s="262">
        <f>W20</f>
        <v>7.1211405855241966E-2</v>
      </c>
      <c r="G54" s="262">
        <f>W22</f>
        <v>6.2092180704102086E-2</v>
      </c>
      <c r="H54" s="19"/>
      <c r="I54" s="19"/>
      <c r="J54" s="235" t="s">
        <v>253</v>
      </c>
      <c r="K54" s="20" t="s">
        <v>278</v>
      </c>
      <c r="L54" s="3"/>
      <c r="M54" s="3"/>
      <c r="N54" s="3"/>
      <c r="O54" s="3"/>
      <c r="P54" s="3">
        <f t="shared" ref="P54:P65" si="13">P38*AF54</f>
        <v>0.15232450850053633</v>
      </c>
      <c r="Q54" s="3">
        <f t="shared" ref="Q54:U65" si="14">Q38*$AF54</f>
        <v>2.64258938377618E-3</v>
      </c>
      <c r="R54" s="3">
        <f t="shared" si="14"/>
        <v>6.4952749528523297E-4</v>
      </c>
      <c r="S54" s="3">
        <f t="shared" si="14"/>
        <v>0.14733790588708198</v>
      </c>
      <c r="T54" s="3">
        <f t="shared" si="14"/>
        <v>8.539550689915527E-4</v>
      </c>
      <c r="U54" s="3">
        <f t="shared" si="14"/>
        <v>8.4053066540138843E-4</v>
      </c>
      <c r="V54" s="3"/>
      <c r="W54" s="3"/>
      <c r="X54" s="3"/>
      <c r="Y54" s="3"/>
      <c r="Z54" s="3"/>
      <c r="AA54" s="3"/>
      <c r="AB54" s="3"/>
      <c r="AC54" s="3">
        <f t="shared" ref="AC54:AD65" si="15">AC38*$AF54</f>
        <v>0</v>
      </c>
      <c r="AD54" s="306">
        <f t="shared" si="15"/>
        <v>0</v>
      </c>
      <c r="AE54" s="19">
        <v>0.1515</v>
      </c>
      <c r="AF54" s="319">
        <f t="shared" si="12"/>
        <v>0.15232450850053633</v>
      </c>
      <c r="AG54" s="19"/>
      <c r="AH54" s="321">
        <f>AF54*'[1]BOF_Composition Norm'!$M$11</f>
        <v>1.2264409527357021E-2</v>
      </c>
      <c r="AI54" s="19"/>
      <c r="AJ54" s="19">
        <f t="shared" ref="AJ54:AJ65" si="16">SUMPRODUCT(P54:AD54,P$12:AD$12)/AF54</f>
        <v>505.07412017651387</v>
      </c>
      <c r="AK54" s="19"/>
    </row>
    <row r="55" spans="1:37">
      <c r="B55" s="19"/>
      <c r="D55" s="262" t="s">
        <v>50</v>
      </c>
      <c r="E55" s="262">
        <f>X18</f>
        <v>2.2408535084963283E-2</v>
      </c>
      <c r="F55" s="262">
        <f>X20</f>
        <v>3.6417557679522851E-2</v>
      </c>
      <c r="G55" s="262">
        <f>X22</f>
        <v>9.0252009860202098E-2</v>
      </c>
      <c r="H55" s="19"/>
      <c r="I55" s="19"/>
      <c r="J55" s="235" t="s">
        <v>255</v>
      </c>
      <c r="K55" s="20" t="s">
        <v>256</v>
      </c>
      <c r="L55" s="3"/>
      <c r="M55" s="3"/>
      <c r="N55" s="3"/>
      <c r="O55" s="3"/>
      <c r="P55" s="3">
        <f t="shared" si="13"/>
        <v>0.96733603715093064</v>
      </c>
      <c r="Q55" s="3">
        <f t="shared" si="14"/>
        <v>1.6781750799544966E-2</v>
      </c>
      <c r="R55" s="3">
        <f t="shared" si="14"/>
        <v>4.1248211433262214E-3</v>
      </c>
      <c r="S55" s="3">
        <f t="shared" si="14"/>
        <v>0.93566864194034027</v>
      </c>
      <c r="T55" s="3">
        <f t="shared" si="14"/>
        <v>5.4230374381305131E-3</v>
      </c>
      <c r="U55" s="3">
        <f t="shared" si="14"/>
        <v>5.3377858295886186E-3</v>
      </c>
      <c r="V55" s="3"/>
      <c r="W55" s="3"/>
      <c r="X55" s="3"/>
      <c r="Y55" s="3"/>
      <c r="Z55" s="3"/>
      <c r="AA55" s="3"/>
      <c r="AB55" s="3"/>
      <c r="AC55" s="3">
        <f t="shared" si="15"/>
        <v>0</v>
      </c>
      <c r="AD55" s="306">
        <f t="shared" si="15"/>
        <v>0</v>
      </c>
      <c r="AE55" s="19">
        <v>0.96209999999999996</v>
      </c>
      <c r="AF55" s="319">
        <f t="shared" si="12"/>
        <v>0.96733603715093064</v>
      </c>
      <c r="AG55" s="19"/>
      <c r="AH55" s="321">
        <f>AF55*'[1]BOF_Composition Norm'!$M$11</f>
        <v>7.7885071988582105E-2</v>
      </c>
      <c r="AI55" s="19"/>
      <c r="AJ55" s="19">
        <f t="shared" si="16"/>
        <v>505.07412017651393</v>
      </c>
      <c r="AK55" s="19"/>
    </row>
    <row r="56" spans="1:37">
      <c r="B56" s="19"/>
      <c r="D56" s="19"/>
      <c r="E56" s="19"/>
      <c r="F56" s="19"/>
      <c r="G56" s="19"/>
      <c r="H56" s="19"/>
      <c r="I56" s="19"/>
      <c r="J56" s="235" t="s">
        <v>257</v>
      </c>
      <c r="K56" s="20" t="s">
        <v>258</v>
      </c>
      <c r="L56" s="3"/>
      <c r="M56" s="3"/>
      <c r="N56" s="3"/>
      <c r="O56" s="3"/>
      <c r="P56" s="3">
        <f t="shared" si="13"/>
        <v>0.19917811969608085</v>
      </c>
      <c r="Q56" s="3">
        <f t="shared" si="14"/>
        <v>3.4554254582578304E-3</v>
      </c>
      <c r="R56" s="3">
        <f t="shared" si="14"/>
        <v>8.493161506006908E-4</v>
      </c>
      <c r="S56" s="3">
        <f t="shared" si="14"/>
        <v>0.19265768419954415</v>
      </c>
      <c r="T56" s="3">
        <f t="shared" si="14"/>
        <v>1.1166237568793834E-3</v>
      </c>
      <c r="U56" s="3">
        <f t="shared" si="14"/>
        <v>1.0990701307987793E-3</v>
      </c>
      <c r="V56" s="3"/>
      <c r="W56" s="3"/>
      <c r="X56" s="3"/>
      <c r="Y56" s="3"/>
      <c r="Z56" s="3"/>
      <c r="AA56" s="3"/>
      <c r="AB56" s="3"/>
      <c r="AC56" s="3">
        <f t="shared" si="15"/>
        <v>0</v>
      </c>
      <c r="AD56" s="306">
        <f t="shared" si="15"/>
        <v>0</v>
      </c>
      <c r="AE56" s="19">
        <v>0.1981</v>
      </c>
      <c r="AF56" s="319">
        <f t="shared" si="12"/>
        <v>0.19917811969608085</v>
      </c>
      <c r="AG56" s="19"/>
      <c r="AH56" s="321">
        <f>AF56*'[1]BOF_Composition Norm'!$M$11</f>
        <v>1.6036828563494563E-2</v>
      </c>
      <c r="AI56" s="19"/>
      <c r="AJ56" s="19">
        <f t="shared" si="16"/>
        <v>505.07412017651399</v>
      </c>
      <c r="AK56" s="19"/>
    </row>
    <row r="57" spans="1:37" ht="15" thickBot="1">
      <c r="A57" s="356">
        <v>7942</v>
      </c>
      <c r="B57" s="356" t="s">
        <v>302</v>
      </c>
      <c r="C57" s="357" t="s">
        <v>214</v>
      </c>
      <c r="D57" s="322" t="s">
        <v>279</v>
      </c>
      <c r="E57" s="355">
        <f>SUM(E37:E55)</f>
        <v>3.9371098365273878</v>
      </c>
      <c r="F57" s="355">
        <f>SUM(F37:F55)</f>
        <v>3.9144542601103289</v>
      </c>
      <c r="G57" s="355">
        <f>SUM(G37:G55)</f>
        <v>3.9158200451308094</v>
      </c>
      <c r="H57" s="19"/>
      <c r="I57" s="19"/>
      <c r="J57" s="235" t="s">
        <v>259</v>
      </c>
      <c r="K57" s="358" t="s">
        <v>260</v>
      </c>
      <c r="L57" s="3"/>
      <c r="M57" s="3"/>
      <c r="N57" s="3"/>
      <c r="O57" s="3"/>
      <c r="P57" s="3">
        <f t="shared" si="13"/>
        <v>6.2136334160614815E-2</v>
      </c>
      <c r="Q57" s="3">
        <f t="shared" si="14"/>
        <v>0</v>
      </c>
      <c r="R57" s="3">
        <f t="shared" si="14"/>
        <v>0</v>
      </c>
      <c r="S57" s="3">
        <f t="shared" si="14"/>
        <v>0</v>
      </c>
      <c r="T57" s="3">
        <f t="shared" si="14"/>
        <v>0</v>
      </c>
      <c r="U57" s="3">
        <f t="shared" si="14"/>
        <v>0</v>
      </c>
      <c r="V57" s="3"/>
      <c r="W57" s="3"/>
      <c r="X57" s="3"/>
      <c r="Y57" s="3"/>
      <c r="Z57" s="3"/>
      <c r="AA57" s="3"/>
      <c r="AB57" s="3"/>
      <c r="AC57" s="3">
        <f t="shared" si="15"/>
        <v>0</v>
      </c>
      <c r="AD57" s="306">
        <f t="shared" si="15"/>
        <v>0</v>
      </c>
      <c r="AE57" s="19">
        <v>3.09E-2</v>
      </c>
      <c r="AF57" s="319">
        <f t="shared" si="12"/>
        <v>3.1068167080307407E-2</v>
      </c>
      <c r="AG57" s="19"/>
      <c r="AH57" s="321">
        <f>AF57*'[1]BOF_Composition Norm'!$M$11</f>
        <v>2.5014538243916299E-3</v>
      </c>
      <c r="AI57" s="19"/>
      <c r="AJ57" s="19">
        <f t="shared" si="16"/>
        <v>508.86399999999998</v>
      </c>
      <c r="AK57" s="19"/>
    </row>
    <row r="58" spans="1:37">
      <c r="A58" s="392" t="s">
        <v>280</v>
      </c>
      <c r="B58" s="393"/>
      <c r="C58" s="394"/>
      <c r="D58" s="234" t="s">
        <v>36</v>
      </c>
      <c r="E58" s="19">
        <f>E41</f>
        <v>1.944137283712897</v>
      </c>
      <c r="F58" s="19">
        <f t="shared" ref="F58:G58" si="17">F41</f>
        <v>1.9607013819852053</v>
      </c>
      <c r="G58" s="19">
        <f t="shared" si="17"/>
        <v>1.799843299202341</v>
      </c>
      <c r="H58" s="19"/>
      <c r="I58" s="19"/>
      <c r="J58" s="235" t="s">
        <v>261</v>
      </c>
      <c r="K58" s="358" t="s">
        <v>262</v>
      </c>
      <c r="L58" s="3"/>
      <c r="M58" s="3"/>
      <c r="N58" s="3"/>
      <c r="O58" s="3"/>
      <c r="P58" s="3">
        <f t="shared" si="13"/>
        <v>0.26764874034879715</v>
      </c>
      <c r="Q58" s="3">
        <f t="shared" si="14"/>
        <v>0</v>
      </c>
      <c r="R58" s="3">
        <f t="shared" si="14"/>
        <v>0</v>
      </c>
      <c r="S58" s="3">
        <f t="shared" si="14"/>
        <v>0</v>
      </c>
      <c r="T58" s="3">
        <f t="shared" si="14"/>
        <v>0</v>
      </c>
      <c r="U58" s="3">
        <f t="shared" si="14"/>
        <v>0</v>
      </c>
      <c r="V58" s="3"/>
      <c r="W58" s="3"/>
      <c r="X58" s="3"/>
      <c r="Y58" s="3"/>
      <c r="Z58" s="3"/>
      <c r="AA58" s="3"/>
      <c r="AB58" s="3"/>
      <c r="AC58" s="3">
        <f t="shared" si="15"/>
        <v>0</v>
      </c>
      <c r="AD58" s="306">
        <f t="shared" si="15"/>
        <v>0</v>
      </c>
      <c r="AE58" s="19">
        <v>0.1331</v>
      </c>
      <c r="AF58" s="319">
        <f t="shared" si="12"/>
        <v>0.13382437017439858</v>
      </c>
      <c r="AG58" s="19"/>
      <c r="AH58" s="321">
        <f>AF58*'[1]BOF_Composition Norm'!$M$11</f>
        <v>1.0774870680470096E-2</v>
      </c>
      <c r="AI58" s="19"/>
      <c r="AJ58" s="19">
        <f t="shared" si="16"/>
        <v>508.86400000000003</v>
      </c>
      <c r="AK58" s="19"/>
    </row>
    <row r="59" spans="1:37" ht="15" thickBot="1">
      <c r="A59" s="323">
        <f>E59/E58</f>
        <v>0.78883527624333349</v>
      </c>
      <c r="B59" s="324">
        <f>F59/F58</f>
        <v>0.78456953764316917</v>
      </c>
      <c r="C59" s="325">
        <f>G59/G58</f>
        <v>0.93326632512606233</v>
      </c>
      <c r="D59" s="322" t="s">
        <v>281</v>
      </c>
      <c r="E59" s="19">
        <f>SUM(E42:E46)</f>
        <v>1.5336040712526271</v>
      </c>
      <c r="F59" s="19">
        <f t="shared" ref="F59:G59" si="18">SUM(F42:F46)</f>
        <v>1.5383065767204553</v>
      </c>
      <c r="G59" s="19">
        <f t="shared" si="18"/>
        <v>1.6797331416493366</v>
      </c>
      <c r="H59" s="19"/>
      <c r="I59" s="19"/>
      <c r="J59" s="309" t="s">
        <v>263</v>
      </c>
      <c r="K59" s="20" t="s">
        <v>264</v>
      </c>
      <c r="L59" s="3"/>
      <c r="M59" s="3"/>
      <c r="N59" s="3"/>
      <c r="O59" s="3"/>
      <c r="P59" s="3">
        <f t="shared" si="13"/>
        <v>0</v>
      </c>
      <c r="Q59" s="3">
        <f t="shared" si="14"/>
        <v>2.1140520226851941E-4</v>
      </c>
      <c r="R59" s="3">
        <f t="shared" si="14"/>
        <v>5.196172071331137E-5</v>
      </c>
      <c r="S59" s="3">
        <f t="shared" si="14"/>
        <v>1.1786923835805733E-2</v>
      </c>
      <c r="T59" s="3">
        <f t="shared" si="14"/>
        <v>6.8315775881311523E-5</v>
      </c>
      <c r="U59" s="3">
        <f t="shared" si="14"/>
        <v>6.724183349217746E-5</v>
      </c>
      <c r="V59" s="3"/>
      <c r="W59" s="3"/>
      <c r="X59" s="3"/>
      <c r="Y59" s="3"/>
      <c r="Z59" s="3"/>
      <c r="AA59" s="3"/>
      <c r="AB59" s="3"/>
      <c r="AC59" s="3">
        <f t="shared" si="15"/>
        <v>7.1630668474338141E-3</v>
      </c>
      <c r="AD59" s="306">
        <f t="shared" si="15"/>
        <v>5.0227815207272387E-3</v>
      </c>
      <c r="AE59" s="19">
        <f>$E$67/5</f>
        <v>1.2119888296044622E-2</v>
      </c>
      <c r="AF59" s="319">
        <f t="shared" si="12"/>
        <v>1.2185848368161053E-2</v>
      </c>
      <c r="AG59" s="19"/>
      <c r="AH59" s="321">
        <f>AF59*'[1]BOF_Composition Norm'!$M$11</f>
        <v>9.8114371939612218E-4</v>
      </c>
      <c r="AI59" s="19"/>
      <c r="AJ59" s="19">
        <f t="shared" si="16"/>
        <v>562.35775713358453</v>
      </c>
      <c r="AK59" s="19"/>
    </row>
    <row r="60" spans="1:37">
      <c r="B60" s="19">
        <f>E60/5</f>
        <v>1.0873139099167614E-2</v>
      </c>
      <c r="D60" s="322" t="s">
        <v>282</v>
      </c>
      <c r="E60" s="19">
        <f>SUM(E54:E55)</f>
        <v>5.4365695495838071E-2</v>
      </c>
      <c r="F60" s="19">
        <f t="shared" ref="F60:G60" si="19">SUM(F54:F55)</f>
        <v>0.10762896353476481</v>
      </c>
      <c r="G60" s="19">
        <f t="shared" si="19"/>
        <v>0.15234419056430418</v>
      </c>
      <c r="H60" s="19"/>
      <c r="I60" s="19"/>
      <c r="J60" s="309" t="s">
        <v>265</v>
      </c>
      <c r="K60" s="20" t="s">
        <v>266</v>
      </c>
      <c r="L60" s="3"/>
      <c r="M60" s="3"/>
      <c r="N60" s="3"/>
      <c r="O60" s="3"/>
      <c r="P60" s="3">
        <f t="shared" si="13"/>
        <v>0</v>
      </c>
      <c r="Q60" s="3">
        <f t="shared" si="14"/>
        <v>2.1140520226851941E-4</v>
      </c>
      <c r="R60" s="3">
        <f t="shared" si="14"/>
        <v>5.196172071331137E-5</v>
      </c>
      <c r="S60" s="3">
        <f t="shared" si="14"/>
        <v>1.1786923835805733E-2</v>
      </c>
      <c r="T60" s="3">
        <f t="shared" si="14"/>
        <v>6.8315775881311523E-5</v>
      </c>
      <c r="U60" s="3">
        <f t="shared" si="14"/>
        <v>6.724183349217746E-5</v>
      </c>
      <c r="V60" s="3"/>
      <c r="W60" s="3"/>
      <c r="X60" s="3"/>
      <c r="Y60" s="3"/>
      <c r="Z60" s="3"/>
      <c r="AA60" s="3"/>
      <c r="AB60" s="3"/>
      <c r="AC60" s="3">
        <f t="shared" si="15"/>
        <v>7.1630668474338141E-3</v>
      </c>
      <c r="AD60" s="306">
        <f t="shared" si="15"/>
        <v>5.0227815207272387E-3</v>
      </c>
      <c r="AE60" s="19">
        <f t="shared" ref="AE60:AE63" si="20">$E$67/5</f>
        <v>1.2119888296044622E-2</v>
      </c>
      <c r="AF60" s="319">
        <f t="shared" si="12"/>
        <v>1.2185848368161053E-2</v>
      </c>
      <c r="AG60" s="19"/>
      <c r="AH60" s="321">
        <f>AF60*'[1]BOF_Composition Norm'!$M$11</f>
        <v>9.8114371939612218E-4</v>
      </c>
      <c r="AI60" s="19"/>
      <c r="AJ60" s="19">
        <f t="shared" si="16"/>
        <v>562.35775713358453</v>
      </c>
      <c r="AK60" s="19"/>
    </row>
    <row r="61" spans="1:37">
      <c r="B61" s="19"/>
      <c r="D61" s="19" t="s">
        <v>231</v>
      </c>
      <c r="E61" s="19">
        <f>SUM(E37:E40,E47,E48,E49,E50,E53)</f>
        <v>0.40500278606602658</v>
      </c>
      <c r="F61" s="19">
        <f t="shared" ref="F61:G61" si="21">SUM(F37:F40,F47,F48,F49,F50,F53)</f>
        <v>0.30781733786990356</v>
      </c>
      <c r="G61" s="19">
        <f t="shared" si="21"/>
        <v>0.28389941371482774</v>
      </c>
      <c r="H61" s="19"/>
      <c r="I61" s="19"/>
      <c r="J61" s="309" t="s">
        <v>267</v>
      </c>
      <c r="K61" s="20" t="s">
        <v>268</v>
      </c>
      <c r="L61" s="3"/>
      <c r="M61" s="3"/>
      <c r="N61" s="3"/>
      <c r="O61" s="3"/>
      <c r="P61" s="3">
        <f t="shared" si="13"/>
        <v>1.2185848368161053E-2</v>
      </c>
      <c r="Q61" s="3">
        <f t="shared" si="14"/>
        <v>0</v>
      </c>
      <c r="R61" s="3">
        <f t="shared" si="14"/>
        <v>0</v>
      </c>
      <c r="S61" s="3">
        <f t="shared" si="14"/>
        <v>0</v>
      </c>
      <c r="T61" s="3">
        <f t="shared" si="14"/>
        <v>0</v>
      </c>
      <c r="U61" s="3">
        <f t="shared" si="14"/>
        <v>0</v>
      </c>
      <c r="V61" s="3"/>
      <c r="W61" s="3"/>
      <c r="X61" s="3"/>
      <c r="Y61" s="3"/>
      <c r="Z61" s="3"/>
      <c r="AA61" s="3"/>
      <c r="AB61" s="3"/>
      <c r="AC61" s="3">
        <f t="shared" si="15"/>
        <v>7.1630668474338141E-3</v>
      </c>
      <c r="AD61" s="306">
        <f t="shared" si="15"/>
        <v>5.0227815207272387E-3</v>
      </c>
      <c r="AE61" s="19">
        <f t="shared" si="20"/>
        <v>1.2119888296044622E-2</v>
      </c>
      <c r="AF61" s="319">
        <f t="shared" si="12"/>
        <v>1.2185848368161053E-2</v>
      </c>
      <c r="AG61" s="19"/>
      <c r="AH61" s="321">
        <f>AF61*'[1]BOF_Composition Norm'!$M$11</f>
        <v>9.8114371939612218E-4</v>
      </c>
      <c r="AI61" s="19"/>
      <c r="AJ61" s="19">
        <f t="shared" si="16"/>
        <v>566.14763695707052</v>
      </c>
      <c r="AK61" s="19"/>
    </row>
    <row r="62" spans="1:37">
      <c r="B62" s="19"/>
      <c r="C62" s="326"/>
      <c r="D62" s="322" t="s">
        <v>283</v>
      </c>
      <c r="E62" s="19">
        <f>SUM(E58:E60)</f>
        <v>3.5321070504613621</v>
      </c>
      <c r="F62" s="19">
        <f t="shared" ref="F62:G62" si="22">SUM(F58:F60)</f>
        <v>3.6066369222404253</v>
      </c>
      <c r="G62" s="19">
        <f t="shared" si="22"/>
        <v>3.6319206314159818</v>
      </c>
      <c r="H62" s="19"/>
      <c r="I62" s="19"/>
      <c r="J62" s="309" t="s">
        <v>269</v>
      </c>
      <c r="K62" s="20" t="s">
        <v>270</v>
      </c>
      <c r="L62" s="3"/>
      <c r="M62" s="3"/>
      <c r="N62" s="3"/>
      <c r="O62" s="3"/>
      <c r="P62" s="3">
        <f t="shared" si="13"/>
        <v>1.2185848368161053E-2</v>
      </c>
      <c r="Q62" s="3">
        <f t="shared" si="14"/>
        <v>0</v>
      </c>
      <c r="R62" s="3">
        <f t="shared" si="14"/>
        <v>0</v>
      </c>
      <c r="S62" s="3">
        <f t="shared" si="14"/>
        <v>0</v>
      </c>
      <c r="T62" s="3">
        <f t="shared" si="14"/>
        <v>0</v>
      </c>
      <c r="U62" s="3">
        <f t="shared" si="14"/>
        <v>0</v>
      </c>
      <c r="V62" s="3"/>
      <c r="W62" s="3"/>
      <c r="X62" s="3"/>
      <c r="Y62" s="3"/>
      <c r="Z62" s="3"/>
      <c r="AA62" s="3"/>
      <c r="AB62" s="3"/>
      <c r="AC62" s="3">
        <f t="shared" si="15"/>
        <v>7.1630668474338141E-3</v>
      </c>
      <c r="AD62" s="306">
        <f t="shared" si="15"/>
        <v>5.0227815207272387E-3</v>
      </c>
      <c r="AE62" s="19">
        <f t="shared" si="20"/>
        <v>1.2119888296044622E-2</v>
      </c>
      <c r="AF62" s="319">
        <f t="shared" si="12"/>
        <v>1.2185848368161053E-2</v>
      </c>
      <c r="AG62" s="19"/>
      <c r="AH62" s="321">
        <f>AF62*'[1]BOF_Composition Norm'!$M$11</f>
        <v>9.8114371939612218E-4</v>
      </c>
      <c r="AI62" s="19"/>
      <c r="AJ62" s="19">
        <f t="shared" si="16"/>
        <v>566.14763695707052</v>
      </c>
      <c r="AK62" s="19"/>
    </row>
    <row r="63" spans="1:37">
      <c r="B63" s="19"/>
      <c r="D63" s="19"/>
      <c r="E63" s="19"/>
      <c r="F63" s="19"/>
      <c r="G63" s="19"/>
      <c r="H63" s="19"/>
      <c r="I63" s="19"/>
      <c r="J63" s="309" t="s">
        <v>271</v>
      </c>
      <c r="K63" s="20" t="s">
        <v>272</v>
      </c>
      <c r="L63" s="3"/>
      <c r="M63" s="3"/>
      <c r="N63" s="3"/>
      <c r="O63" s="3"/>
      <c r="P63" s="3">
        <f t="shared" si="13"/>
        <v>1.2185848368161053E-2</v>
      </c>
      <c r="Q63" s="3">
        <f t="shared" si="14"/>
        <v>0</v>
      </c>
      <c r="R63" s="3">
        <f t="shared" si="14"/>
        <v>0</v>
      </c>
      <c r="S63" s="3">
        <f t="shared" si="14"/>
        <v>0</v>
      </c>
      <c r="T63" s="3">
        <f t="shared" si="14"/>
        <v>0</v>
      </c>
      <c r="U63" s="3">
        <f t="shared" si="14"/>
        <v>0</v>
      </c>
      <c r="V63" s="3"/>
      <c r="W63" s="3"/>
      <c r="X63" s="3"/>
      <c r="Y63" s="3"/>
      <c r="Z63" s="3"/>
      <c r="AA63" s="3"/>
      <c r="AB63" s="3" t="s">
        <v>284</v>
      </c>
      <c r="AC63" s="3">
        <f t="shared" si="15"/>
        <v>7.1630668474338141E-3</v>
      </c>
      <c r="AD63" s="306">
        <f t="shared" si="15"/>
        <v>5.0227815207272387E-3</v>
      </c>
      <c r="AE63" s="19">
        <f t="shared" si="20"/>
        <v>1.2119888296044622E-2</v>
      </c>
      <c r="AF63" s="319">
        <f t="shared" si="12"/>
        <v>1.2185848368161053E-2</v>
      </c>
      <c r="AG63" s="19"/>
      <c r="AH63" s="321">
        <f>AF63*'[1]BOF_Composition Norm'!$M$11</f>
        <v>9.8114371939612218E-4</v>
      </c>
      <c r="AI63" s="19"/>
      <c r="AJ63" s="19">
        <f t="shared" si="16"/>
        <v>566.14763695707052</v>
      </c>
      <c r="AK63" s="19"/>
    </row>
    <row r="64" spans="1:37">
      <c r="B64" s="19"/>
      <c r="D64" s="322" t="s">
        <v>238</v>
      </c>
      <c r="E64" s="19"/>
      <c r="F64" s="19"/>
      <c r="G64" s="19"/>
      <c r="H64" s="19"/>
      <c r="I64" s="19"/>
      <c r="J64" s="310" t="s">
        <v>273</v>
      </c>
      <c r="K64" s="359" t="s">
        <v>274</v>
      </c>
      <c r="L64" s="3"/>
      <c r="M64" s="3"/>
      <c r="N64" s="3"/>
      <c r="O64" s="3"/>
      <c r="P64" s="3">
        <f t="shared" si="13"/>
        <v>0.35642929546825164</v>
      </c>
      <c r="Q64" s="3">
        <f t="shared" si="14"/>
        <v>6.1834847296940972E-3</v>
      </c>
      <c r="R64" s="3">
        <f t="shared" si="14"/>
        <v>1.5198514658654461E-3</v>
      </c>
      <c r="S64" s="3">
        <f t="shared" si="14"/>
        <v>0.34476097450145576</v>
      </c>
      <c r="T64" s="3">
        <f t="shared" si="14"/>
        <v>1.9981984947690123E-3</v>
      </c>
      <c r="U64" s="3">
        <f t="shared" si="14"/>
        <v>1.9667862764672752E-3</v>
      </c>
      <c r="V64" s="3"/>
      <c r="W64" s="3"/>
      <c r="X64" s="3"/>
      <c r="Y64" s="3"/>
      <c r="Z64" s="3"/>
      <c r="AA64" s="3"/>
      <c r="AB64" s="3"/>
      <c r="AC64" s="3">
        <f t="shared" si="15"/>
        <v>0</v>
      </c>
      <c r="AD64" s="306">
        <f t="shared" si="15"/>
        <v>0</v>
      </c>
      <c r="AE64" s="19">
        <v>0.35449999999999998</v>
      </c>
      <c r="AF64" s="319">
        <f t="shared" si="12"/>
        <v>0.35642929546825164</v>
      </c>
      <c r="AG64" s="19"/>
      <c r="AH64" s="321">
        <f>AF64*'[1]BOF_Composition Norm'!$M$11</f>
        <v>2.8697908762033424E-2</v>
      </c>
      <c r="AI64" s="19"/>
      <c r="AJ64" s="19">
        <f t="shared" si="16"/>
        <v>505.07412017651393</v>
      </c>
      <c r="AK64" s="19"/>
    </row>
    <row r="65" spans="1:37" ht="15" thickBot="1">
      <c r="B65" s="19"/>
      <c r="D65" s="322" t="s">
        <v>36</v>
      </c>
      <c r="E65" s="327">
        <f>E58*E$57/E$62</f>
        <v>2.1670583348446035</v>
      </c>
      <c r="F65" s="327">
        <f t="shared" ref="F65:G65" si="23">F58*F$57/F$62</f>
        <v>2.1280422850960212</v>
      </c>
      <c r="G65" s="327">
        <f t="shared" si="23"/>
        <v>1.9405331735906177</v>
      </c>
      <c r="H65" s="19"/>
      <c r="I65" s="19"/>
      <c r="J65" s="185" t="s">
        <v>275</v>
      </c>
      <c r="K65" s="359" t="s">
        <v>276</v>
      </c>
      <c r="L65" s="3"/>
      <c r="M65" s="3"/>
      <c r="N65" s="3"/>
      <c r="O65" s="3"/>
      <c r="P65" s="3">
        <f t="shared" si="13"/>
        <v>8.8680010889421138E-2</v>
      </c>
      <c r="Q65" s="3">
        <f t="shared" si="14"/>
        <v>0</v>
      </c>
      <c r="R65" s="3">
        <f t="shared" si="14"/>
        <v>0</v>
      </c>
      <c r="S65" s="3">
        <f t="shared" si="14"/>
        <v>0</v>
      </c>
      <c r="T65" s="3">
        <f t="shared" si="14"/>
        <v>0</v>
      </c>
      <c r="U65" s="3">
        <f t="shared" si="14"/>
        <v>0</v>
      </c>
      <c r="V65" s="3"/>
      <c r="W65" s="3"/>
      <c r="X65" s="3"/>
      <c r="Y65" s="3"/>
      <c r="Z65" s="3"/>
      <c r="AA65" s="3"/>
      <c r="AB65" s="3"/>
      <c r="AC65" s="3">
        <f t="shared" si="15"/>
        <v>0</v>
      </c>
      <c r="AD65" s="306">
        <f t="shared" si="15"/>
        <v>0</v>
      </c>
      <c r="AE65" s="19">
        <v>4.41E-2</v>
      </c>
      <c r="AF65" s="319">
        <f t="shared" si="12"/>
        <v>4.4340005444710569E-2</v>
      </c>
      <c r="AG65" s="19"/>
      <c r="AH65" s="328">
        <f>AF65*'[1]BOF_Composition Norm'!$M$11</f>
        <v>3.5700360406365978E-3</v>
      </c>
      <c r="AI65" s="19"/>
      <c r="AJ65" s="19">
        <f t="shared" si="16"/>
        <v>508.86399999999992</v>
      </c>
      <c r="AK65" s="19"/>
    </row>
    <row r="66" spans="1:37" ht="15" thickBot="1">
      <c r="B66" s="19"/>
      <c r="D66" s="322" t="s">
        <v>281</v>
      </c>
      <c r="E66" s="327">
        <f t="shared" ref="E66:G67" si="24">E59*E$57/E$62</f>
        <v>1.7094520602025611</v>
      </c>
      <c r="F66" s="327">
        <f t="shared" si="24"/>
        <v>1.6695971517028987</v>
      </c>
      <c r="G66" s="327">
        <f t="shared" si="24"/>
        <v>1.8110342637021313</v>
      </c>
      <c r="H66" s="19"/>
      <c r="I66" s="19"/>
      <c r="J66" s="19"/>
      <c r="K66" s="183" t="s">
        <v>285</v>
      </c>
      <c r="L66" s="26"/>
      <c r="M66" s="26"/>
      <c r="N66" s="26"/>
      <c r="O66" s="26"/>
      <c r="P66" s="26">
        <f>SUM(P53:P65)</f>
        <v>2.17654093713446</v>
      </c>
      <c r="Q66" s="26">
        <f>SUM(Q53:U65)</f>
        <v>1.6996396575521213</v>
      </c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>
        <f>SUM(AC53:AD65)</f>
        <v>6.0929241840805254E-2</v>
      </c>
      <c r="AD66" s="315"/>
      <c r="AE66" s="329">
        <f>SUM(AE53:AE65)</f>
        <v>1.9578994414802235</v>
      </c>
      <c r="AF66" s="330">
        <f>SUM(AF53:AF65)</f>
        <v>1.9685549182636932</v>
      </c>
      <c r="AG66" s="19"/>
      <c r="AH66" s="331">
        <f>SUM(AH53:AH65)</f>
        <v>0.15849822154255469</v>
      </c>
      <c r="AI66" s="19"/>
      <c r="AJ66" s="19"/>
      <c r="AK66" s="19"/>
    </row>
    <row r="67" spans="1:37" ht="15" thickBot="1">
      <c r="B67" s="19"/>
      <c r="D67" s="322" t="s">
        <v>282</v>
      </c>
      <c r="E67" s="332">
        <f t="shared" si="24"/>
        <v>6.0599441480223108E-2</v>
      </c>
      <c r="F67" s="327">
        <f t="shared" si="24"/>
        <v>0.11681482331140904</v>
      </c>
      <c r="G67" s="327">
        <f t="shared" si="24"/>
        <v>0.16425260783806048</v>
      </c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</row>
    <row r="68" spans="1:37" ht="15" thickBot="1">
      <c r="B68" s="19"/>
      <c r="D68" s="19"/>
      <c r="E68" s="19"/>
      <c r="F68" s="19"/>
      <c r="G68" s="19"/>
      <c r="H68" s="19"/>
      <c r="I68" s="19"/>
      <c r="J68" s="19"/>
      <c r="K68" s="186" t="s">
        <v>302</v>
      </c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333"/>
      <c r="AE68" s="304"/>
      <c r="AF68" s="317" t="s">
        <v>277</v>
      </c>
      <c r="AG68" s="19"/>
      <c r="AH68" s="334" t="s">
        <v>71</v>
      </c>
      <c r="AI68" s="19"/>
      <c r="AJ68" s="19"/>
      <c r="AK68" s="19"/>
    </row>
    <row r="69" spans="1:37" ht="15" thickBot="1">
      <c r="B69" s="19"/>
      <c r="D69" s="19"/>
      <c r="E69" s="19"/>
      <c r="F69" s="19"/>
      <c r="G69" s="19"/>
      <c r="H69" s="19"/>
      <c r="I69" s="19"/>
      <c r="J69" s="235" t="s">
        <v>251</v>
      </c>
      <c r="K69" s="20" t="s">
        <v>252</v>
      </c>
      <c r="L69" s="3"/>
      <c r="M69" s="3"/>
      <c r="N69" s="3"/>
      <c r="O69" s="3"/>
      <c r="P69" s="3">
        <f t="shared" ref="P69:U81" si="25">P37*$AF69</f>
        <v>5.1120082079128389E-2</v>
      </c>
      <c r="Q69" s="3">
        <f t="shared" si="25"/>
        <v>0</v>
      </c>
      <c r="R69" s="3">
        <f t="shared" si="25"/>
        <v>0</v>
      </c>
      <c r="S69" s="3">
        <f t="shared" si="25"/>
        <v>0</v>
      </c>
      <c r="T69" s="3">
        <f t="shared" si="25"/>
        <v>0</v>
      </c>
      <c r="U69" s="3">
        <f t="shared" si="25"/>
        <v>0</v>
      </c>
      <c r="V69" s="3"/>
      <c r="W69" s="3"/>
      <c r="X69" s="3"/>
      <c r="Y69" s="3"/>
      <c r="Z69" s="3"/>
      <c r="AA69" s="3"/>
      <c r="AB69" s="3"/>
      <c r="AC69" s="3">
        <f t="shared" ref="AC69:AD81" si="26">AC37*$AF69</f>
        <v>0</v>
      </c>
      <c r="AD69" s="335">
        <f t="shared" si="26"/>
        <v>0</v>
      </c>
      <c r="AE69" s="19">
        <v>2.53E-2</v>
      </c>
      <c r="AF69" s="319">
        <f t="shared" ref="AF69:AF81" si="27">AE69/$AE$82*(F$57/2)</f>
        <v>2.5560041039564194E-2</v>
      </c>
      <c r="AG69" s="19"/>
      <c r="AH69" s="336">
        <f>AF69*'[1]BOF_Composition Norm'!$N$11</f>
        <v>2.5451462873855349E-3</v>
      </c>
      <c r="AI69" s="19"/>
      <c r="AJ69" s="19">
        <f>SUMPRODUCT(P69:AD69,P$12:AD$12)/AF69</f>
        <v>508.86399999999998</v>
      </c>
      <c r="AK69" s="19"/>
    </row>
    <row r="70" spans="1:37">
      <c r="A70" s="337" t="s">
        <v>286</v>
      </c>
      <c r="B70" s="338"/>
      <c r="C70" s="339"/>
      <c r="D70" s="338"/>
      <c r="E70" s="338"/>
      <c r="F70" s="340"/>
      <c r="G70" s="340"/>
      <c r="H70" s="341"/>
      <c r="I70" s="19"/>
      <c r="J70" s="235" t="s">
        <v>253</v>
      </c>
      <c r="K70" s="20" t="s">
        <v>278</v>
      </c>
      <c r="L70" s="3"/>
      <c r="M70" s="3"/>
      <c r="N70" s="3"/>
      <c r="O70" s="3"/>
      <c r="P70" s="3">
        <f t="shared" si="25"/>
        <v>0.14750063208602263</v>
      </c>
      <c r="Q70" s="3">
        <f t="shared" si="25"/>
        <v>2.5589027549655749E-3</v>
      </c>
      <c r="R70" s="3">
        <f t="shared" si="25"/>
        <v>6.2895798617650296E-4</v>
      </c>
      <c r="S70" s="3">
        <f t="shared" si="25"/>
        <v>0.14267194729532959</v>
      </c>
      <c r="T70" s="3">
        <f t="shared" si="25"/>
        <v>8.2691166174925538E-4</v>
      </c>
      <c r="U70" s="3">
        <f t="shared" si="25"/>
        <v>8.1391238780168754E-4</v>
      </c>
      <c r="V70" s="3"/>
      <c r="W70" s="3"/>
      <c r="X70" s="3"/>
      <c r="Y70" s="3"/>
      <c r="Z70" s="3"/>
      <c r="AA70" s="3"/>
      <c r="AB70" s="3"/>
      <c r="AC70" s="3">
        <f t="shared" si="26"/>
        <v>0</v>
      </c>
      <c r="AD70" s="335">
        <f t="shared" si="26"/>
        <v>0</v>
      </c>
      <c r="AE70" s="19">
        <v>0.14599999999999999</v>
      </c>
      <c r="AF70" s="319">
        <f t="shared" si="27"/>
        <v>0.14750063208602263</v>
      </c>
      <c r="AG70" s="19"/>
      <c r="AH70" s="342">
        <f>AF70*'[1]BOF_Composition Norm'!$N$11</f>
        <v>1.4687405452896764E-2</v>
      </c>
      <c r="AI70" s="19"/>
      <c r="AJ70" s="19">
        <f t="shared" ref="AJ70:AJ81" si="28">SUMPRODUCT(P70:AD70,P$12:AD$12)/AF70</f>
        <v>505.07412017651393</v>
      </c>
      <c r="AK70" s="19"/>
    </row>
    <row r="71" spans="1:37">
      <c r="A71" s="343"/>
      <c r="B71" s="344"/>
      <c r="C71" s="345"/>
      <c r="D71" s="344"/>
      <c r="E71" s="344"/>
      <c r="F71" s="344"/>
      <c r="G71" s="344"/>
      <c r="H71" s="346"/>
      <c r="I71" s="19"/>
      <c r="J71" s="235" t="s">
        <v>255</v>
      </c>
      <c r="K71" s="20" t="s">
        <v>256</v>
      </c>
      <c r="L71" s="3"/>
      <c r="M71" s="3"/>
      <c r="N71" s="3"/>
      <c r="O71" s="3"/>
      <c r="P71" s="3">
        <f t="shared" si="25"/>
        <v>0.93774031987839868</v>
      </c>
      <c r="Q71" s="3">
        <f t="shared" si="25"/>
        <v>1.6268311898349635E-2</v>
      </c>
      <c r="R71" s="3">
        <f t="shared" si="25"/>
        <v>3.998621936774179E-3</v>
      </c>
      <c r="S71" s="3">
        <f t="shared" si="25"/>
        <v>0.9070417909556503</v>
      </c>
      <c r="T71" s="3">
        <f t="shared" si="25"/>
        <v>5.2571192084634169E-3</v>
      </c>
      <c r="U71" s="3">
        <f t="shared" si="25"/>
        <v>5.1744758791611402E-3</v>
      </c>
      <c r="V71" s="3"/>
      <c r="W71" s="3"/>
      <c r="X71" s="3"/>
      <c r="Y71" s="3"/>
      <c r="Z71" s="3"/>
      <c r="AA71" s="3"/>
      <c r="AB71" s="3"/>
      <c r="AC71" s="3">
        <f t="shared" si="26"/>
        <v>0</v>
      </c>
      <c r="AD71" s="335">
        <f t="shared" si="26"/>
        <v>0</v>
      </c>
      <c r="AE71" s="19">
        <v>0.92820000000000003</v>
      </c>
      <c r="AF71" s="319">
        <f t="shared" si="27"/>
        <v>0.93774031987839868</v>
      </c>
      <c r="AG71" s="19"/>
      <c r="AH71" s="342">
        <f>AF71*'[1]BOF_Composition Norm'!$N$11</f>
        <v>9.3375683160128606E-2</v>
      </c>
      <c r="AI71" s="19"/>
      <c r="AJ71" s="19">
        <f t="shared" si="28"/>
        <v>505.07412017651393</v>
      </c>
      <c r="AK71" s="19"/>
    </row>
    <row r="72" spans="1:37">
      <c r="A72" s="343" t="s">
        <v>287</v>
      </c>
      <c r="B72" s="344"/>
      <c r="C72" s="345"/>
      <c r="D72" s="344"/>
      <c r="E72" s="344"/>
      <c r="F72" s="344"/>
      <c r="G72" s="344"/>
      <c r="H72" s="346"/>
      <c r="I72" s="19"/>
      <c r="J72" s="235" t="s">
        <v>257</v>
      </c>
      <c r="K72" s="20" t="s">
        <v>258</v>
      </c>
      <c r="L72" s="3"/>
      <c r="M72" s="3"/>
      <c r="N72" s="3"/>
      <c r="O72" s="3"/>
      <c r="P72" s="3">
        <f t="shared" si="25"/>
        <v>0.17255553397460732</v>
      </c>
      <c r="Q72" s="3">
        <f t="shared" si="25"/>
        <v>2.9935656886857557E-3</v>
      </c>
      <c r="R72" s="3">
        <f t="shared" si="25"/>
        <v>7.3579468519826532E-4</v>
      </c>
      <c r="S72" s="3">
        <f t="shared" si="25"/>
        <v>0.16690663423316643</v>
      </c>
      <c r="T72" s="3">
        <f t="shared" si="25"/>
        <v>9.6737336867652637E-4</v>
      </c>
      <c r="U72" s="3">
        <f t="shared" si="25"/>
        <v>9.521659988803306E-4</v>
      </c>
      <c r="V72" s="3"/>
      <c r="W72" s="3"/>
      <c r="X72" s="3"/>
      <c r="Y72" s="3"/>
      <c r="Z72" s="3"/>
      <c r="AA72" s="3"/>
      <c r="AB72" s="3"/>
      <c r="AC72" s="3">
        <f t="shared" si="26"/>
        <v>0</v>
      </c>
      <c r="AD72" s="335">
        <f t="shared" si="26"/>
        <v>0</v>
      </c>
      <c r="AE72" s="19">
        <v>0.17080000000000001</v>
      </c>
      <c r="AF72" s="319">
        <f t="shared" si="27"/>
        <v>0.17255553397460732</v>
      </c>
      <c r="AG72" s="19"/>
      <c r="AH72" s="342">
        <f>AF72*'[1]BOF_Composition Norm'!$N$11</f>
        <v>1.7182252406539505E-2</v>
      </c>
      <c r="AI72" s="19"/>
      <c r="AJ72" s="19">
        <f t="shared" si="28"/>
        <v>505.07412017651393</v>
      </c>
      <c r="AK72" s="19"/>
    </row>
    <row r="73" spans="1:37">
      <c r="A73" s="343" t="s">
        <v>288</v>
      </c>
      <c r="B73" s="344"/>
      <c r="C73" s="345"/>
      <c r="D73" s="344"/>
      <c r="E73" s="344"/>
      <c r="F73" s="344"/>
      <c r="G73" s="344"/>
      <c r="H73" s="346"/>
      <c r="I73" s="19"/>
      <c r="J73" s="235" t="s">
        <v>259</v>
      </c>
      <c r="K73" s="358" t="s">
        <v>260</v>
      </c>
      <c r="L73" s="3"/>
      <c r="M73" s="3"/>
      <c r="N73" s="3"/>
      <c r="O73" s="3"/>
      <c r="P73" s="3">
        <f t="shared" si="25"/>
        <v>6.4455755664987957E-2</v>
      </c>
      <c r="Q73" s="3">
        <f t="shared" si="25"/>
        <v>0</v>
      </c>
      <c r="R73" s="3">
        <f t="shared" si="25"/>
        <v>0</v>
      </c>
      <c r="S73" s="3">
        <f t="shared" si="25"/>
        <v>0</v>
      </c>
      <c r="T73" s="3">
        <f t="shared" si="25"/>
        <v>0</v>
      </c>
      <c r="U73" s="3">
        <f t="shared" si="25"/>
        <v>0</v>
      </c>
      <c r="V73" s="3"/>
      <c r="W73" s="3"/>
      <c r="X73" s="3"/>
      <c r="Y73" s="3"/>
      <c r="Z73" s="3"/>
      <c r="AA73" s="3"/>
      <c r="AB73" s="3"/>
      <c r="AC73" s="3">
        <f t="shared" si="26"/>
        <v>0</v>
      </c>
      <c r="AD73" s="335">
        <f t="shared" si="26"/>
        <v>0</v>
      </c>
      <c r="AE73" s="19">
        <v>3.1899999999999998E-2</v>
      </c>
      <c r="AF73" s="319">
        <f t="shared" si="27"/>
        <v>3.2227877832493979E-2</v>
      </c>
      <c r="AG73" s="19"/>
      <c r="AH73" s="342">
        <f>AF73*'[1]BOF_Composition Norm'!$N$11</f>
        <v>3.2090974927904566E-3</v>
      </c>
      <c r="AI73" s="19"/>
      <c r="AJ73" s="19">
        <f t="shared" si="28"/>
        <v>508.86399999999998</v>
      </c>
      <c r="AK73" s="19"/>
    </row>
    <row r="74" spans="1:37">
      <c r="A74" s="343" t="s">
        <v>289</v>
      </c>
      <c r="B74" s="344"/>
      <c r="C74" s="345"/>
      <c r="D74" s="344"/>
      <c r="E74" s="344"/>
      <c r="F74" s="344"/>
      <c r="G74" s="344"/>
      <c r="H74" s="346"/>
      <c r="I74" s="19"/>
      <c r="J74" s="235" t="s">
        <v>261</v>
      </c>
      <c r="K74" s="358" t="s">
        <v>262</v>
      </c>
      <c r="L74" s="3"/>
      <c r="M74" s="3"/>
      <c r="N74" s="3"/>
      <c r="O74" s="3"/>
      <c r="P74" s="3">
        <f t="shared" si="25"/>
        <v>0.27398747549129682</v>
      </c>
      <c r="Q74" s="3">
        <f t="shared" si="25"/>
        <v>0</v>
      </c>
      <c r="R74" s="3">
        <f t="shared" si="25"/>
        <v>0</v>
      </c>
      <c r="S74" s="3">
        <f t="shared" si="25"/>
        <v>0</v>
      </c>
      <c r="T74" s="3">
        <f t="shared" si="25"/>
        <v>0</v>
      </c>
      <c r="U74" s="3">
        <f t="shared" si="25"/>
        <v>0</v>
      </c>
      <c r="V74" s="3"/>
      <c r="W74" s="3"/>
      <c r="X74" s="3"/>
      <c r="Y74" s="3"/>
      <c r="Z74" s="3"/>
      <c r="AA74" s="3"/>
      <c r="AB74" s="3"/>
      <c r="AC74" s="3">
        <f t="shared" si="26"/>
        <v>0</v>
      </c>
      <c r="AD74" s="335">
        <f t="shared" si="26"/>
        <v>0</v>
      </c>
      <c r="AE74" s="19">
        <v>0.1356</v>
      </c>
      <c r="AF74" s="319">
        <f t="shared" si="27"/>
        <v>0.13699373774564841</v>
      </c>
      <c r="AG74" s="19"/>
      <c r="AH74" s="342">
        <f>AF74*'[1]BOF_Composition Norm'!$N$11</f>
        <v>1.3641179311046582E-2</v>
      </c>
      <c r="AI74" s="19"/>
      <c r="AJ74" s="19">
        <f t="shared" si="28"/>
        <v>508.86399999999992</v>
      </c>
      <c r="AK74" s="19"/>
    </row>
    <row r="75" spans="1:37">
      <c r="A75" s="343" t="s">
        <v>290</v>
      </c>
      <c r="B75" s="344"/>
      <c r="C75" s="345"/>
      <c r="D75" s="344"/>
      <c r="E75" s="344"/>
      <c r="F75" s="344"/>
      <c r="G75" s="344"/>
      <c r="H75" s="346"/>
      <c r="I75" s="19"/>
      <c r="J75" s="309" t="s">
        <v>263</v>
      </c>
      <c r="K75" s="20" t="s">
        <v>264</v>
      </c>
      <c r="L75" s="3"/>
      <c r="M75" s="3"/>
      <c r="N75" s="3"/>
      <c r="O75" s="3"/>
      <c r="P75" s="3">
        <f t="shared" si="25"/>
        <v>0</v>
      </c>
      <c r="Q75" s="3">
        <f t="shared" si="25"/>
        <v>4.0947640163339921E-4</v>
      </c>
      <c r="R75" s="3">
        <f t="shared" si="25"/>
        <v>1.0064604935001073E-4</v>
      </c>
      <c r="S75" s="3">
        <f t="shared" si="25"/>
        <v>2.2830408650409025E-2</v>
      </c>
      <c r="T75" s="3">
        <f t="shared" si="25"/>
        <v>1.3232265707038753E-4</v>
      </c>
      <c r="U75" s="3">
        <f t="shared" si="25"/>
        <v>1.3024250927674131E-4</v>
      </c>
      <c r="V75" s="3"/>
      <c r="W75" s="3"/>
      <c r="X75" s="3"/>
      <c r="Y75" s="3"/>
      <c r="Z75" s="3"/>
      <c r="AA75" s="3"/>
      <c r="AB75" s="3"/>
      <c r="AC75" s="3">
        <f t="shared" si="26"/>
        <v>1.3874336136823951E-2</v>
      </c>
      <c r="AD75" s="335">
        <f t="shared" si="26"/>
        <v>9.7287601309156129E-3</v>
      </c>
      <c r="AE75" s="347">
        <f>F$67/5</f>
        <v>2.3362964662281806E-2</v>
      </c>
      <c r="AF75" s="319">
        <f t="shared" si="27"/>
        <v>2.3603096267739564E-2</v>
      </c>
      <c r="AG75" s="19"/>
      <c r="AH75" s="342">
        <f>AF75*'[1]BOF_Composition Norm'!$N$11</f>
        <v>2.3502831135385764E-3</v>
      </c>
      <c r="AI75" s="19"/>
      <c r="AJ75" s="19">
        <f t="shared" si="28"/>
        <v>562.35775713358464</v>
      </c>
      <c r="AK75" s="19"/>
    </row>
    <row r="76" spans="1:37">
      <c r="A76" s="343" t="s">
        <v>291</v>
      </c>
      <c r="B76" s="344"/>
      <c r="C76" s="345"/>
      <c r="D76" s="344"/>
      <c r="E76" s="344"/>
      <c r="F76" s="344"/>
      <c r="G76" s="344"/>
      <c r="H76" s="346"/>
      <c r="I76" s="19"/>
      <c r="J76" s="309" t="s">
        <v>265</v>
      </c>
      <c r="K76" s="20" t="s">
        <v>266</v>
      </c>
      <c r="L76" s="3"/>
      <c r="M76" s="3"/>
      <c r="N76" s="3"/>
      <c r="O76" s="3"/>
      <c r="P76" s="3">
        <f t="shared" si="25"/>
        <v>0</v>
      </c>
      <c r="Q76" s="3">
        <f t="shared" si="25"/>
        <v>4.0947640163339921E-4</v>
      </c>
      <c r="R76" s="3">
        <f t="shared" si="25"/>
        <v>1.0064604935001073E-4</v>
      </c>
      <c r="S76" s="3">
        <f t="shared" si="25"/>
        <v>2.2830408650409025E-2</v>
      </c>
      <c r="T76" s="3">
        <f t="shared" si="25"/>
        <v>1.3232265707038753E-4</v>
      </c>
      <c r="U76" s="3">
        <f t="shared" si="25"/>
        <v>1.3024250927674131E-4</v>
      </c>
      <c r="V76" s="3"/>
      <c r="W76" s="3"/>
      <c r="X76" s="3"/>
      <c r="Y76" s="3"/>
      <c r="Z76" s="3"/>
      <c r="AA76" s="3"/>
      <c r="AB76" s="3"/>
      <c r="AC76" s="3">
        <f t="shared" si="26"/>
        <v>1.3874336136823951E-2</v>
      </c>
      <c r="AD76" s="335">
        <f t="shared" si="26"/>
        <v>9.7287601309156129E-3</v>
      </c>
      <c r="AE76" s="347">
        <f>AE75</f>
        <v>2.3362964662281806E-2</v>
      </c>
      <c r="AF76" s="319">
        <f t="shared" si="27"/>
        <v>2.3603096267739564E-2</v>
      </c>
      <c r="AG76" s="19"/>
      <c r="AH76" s="342">
        <f>AF76*'[1]BOF_Composition Norm'!$N$11</f>
        <v>2.3502831135385764E-3</v>
      </c>
      <c r="AI76" s="19"/>
      <c r="AJ76" s="19">
        <f t="shared" si="28"/>
        <v>562.35775713358464</v>
      </c>
      <c r="AK76" s="19"/>
    </row>
    <row r="77" spans="1:37">
      <c r="A77" s="348"/>
      <c r="B77" s="349"/>
      <c r="C77" s="350"/>
      <c r="D77" s="349"/>
      <c r="E77" s="349"/>
      <c r="F77" s="349"/>
      <c r="G77" s="349"/>
      <c r="H77" s="351"/>
      <c r="I77" s="19"/>
      <c r="J77" s="309" t="s">
        <v>267</v>
      </c>
      <c r="K77" s="20" t="s">
        <v>268</v>
      </c>
      <c r="L77" s="3"/>
      <c r="M77" s="3"/>
      <c r="N77" s="3"/>
      <c r="O77" s="3"/>
      <c r="P77" s="3">
        <f t="shared" si="25"/>
        <v>2.3603096267739564E-2</v>
      </c>
      <c r="Q77" s="3">
        <f t="shared" si="25"/>
        <v>0</v>
      </c>
      <c r="R77" s="3">
        <f t="shared" si="25"/>
        <v>0</v>
      </c>
      <c r="S77" s="3">
        <f t="shared" si="25"/>
        <v>0</v>
      </c>
      <c r="T77" s="3">
        <f t="shared" si="25"/>
        <v>0</v>
      </c>
      <c r="U77" s="3">
        <f t="shared" si="25"/>
        <v>0</v>
      </c>
      <c r="V77" s="3"/>
      <c r="W77" s="3"/>
      <c r="X77" s="3"/>
      <c r="Y77" s="3"/>
      <c r="Z77" s="3"/>
      <c r="AA77" s="3"/>
      <c r="AB77" s="3"/>
      <c r="AC77" s="3">
        <f t="shared" si="26"/>
        <v>1.3874336136823951E-2</v>
      </c>
      <c r="AD77" s="335">
        <f t="shared" si="26"/>
        <v>9.7287601309156129E-3</v>
      </c>
      <c r="AE77" s="347">
        <f t="shared" ref="AE77:AE79" si="29">AE76</f>
        <v>2.3362964662281806E-2</v>
      </c>
      <c r="AF77" s="319">
        <f t="shared" si="27"/>
        <v>2.3603096267739564E-2</v>
      </c>
      <c r="AG77" s="19"/>
      <c r="AH77" s="342">
        <f>AF77*'[1]BOF_Composition Norm'!$N$11</f>
        <v>2.3502831135385764E-3</v>
      </c>
      <c r="AI77" s="19"/>
      <c r="AJ77" s="19">
        <f t="shared" si="28"/>
        <v>566.14763695707052</v>
      </c>
      <c r="AK77" s="19"/>
    </row>
    <row r="78" spans="1:37">
      <c r="A78" s="360" t="s">
        <v>293</v>
      </c>
      <c r="B78" s="361"/>
      <c r="C78" s="362"/>
      <c r="D78" s="361"/>
      <c r="E78" s="361"/>
      <c r="F78" s="361"/>
      <c r="G78" s="361"/>
      <c r="H78" s="363"/>
      <c r="I78" s="19"/>
      <c r="J78" s="309" t="s">
        <v>269</v>
      </c>
      <c r="K78" s="20" t="s">
        <v>270</v>
      </c>
      <c r="L78" s="3"/>
      <c r="M78" s="3"/>
      <c r="N78" s="3"/>
      <c r="O78" s="3"/>
      <c r="P78" s="3">
        <f t="shared" si="25"/>
        <v>2.3603096267739564E-2</v>
      </c>
      <c r="Q78" s="3">
        <f t="shared" si="25"/>
        <v>0</v>
      </c>
      <c r="R78" s="3">
        <f t="shared" si="25"/>
        <v>0</v>
      </c>
      <c r="S78" s="3">
        <f t="shared" si="25"/>
        <v>0</v>
      </c>
      <c r="T78" s="3">
        <f t="shared" si="25"/>
        <v>0</v>
      </c>
      <c r="U78" s="3">
        <f t="shared" si="25"/>
        <v>0</v>
      </c>
      <c r="V78" s="3"/>
      <c r="W78" s="3"/>
      <c r="X78" s="3"/>
      <c r="Y78" s="3"/>
      <c r="Z78" s="3"/>
      <c r="AA78" s="3"/>
      <c r="AB78" s="3"/>
      <c r="AC78" s="3">
        <f t="shared" si="26"/>
        <v>1.3874336136823951E-2</v>
      </c>
      <c r="AD78" s="335">
        <f t="shared" si="26"/>
        <v>9.7287601309156129E-3</v>
      </c>
      <c r="AE78" s="347">
        <f t="shared" si="29"/>
        <v>2.3362964662281806E-2</v>
      </c>
      <c r="AF78" s="319">
        <f t="shared" si="27"/>
        <v>2.3603096267739564E-2</v>
      </c>
      <c r="AG78" s="19"/>
      <c r="AH78" s="342">
        <f>AF78*'[1]BOF_Composition Norm'!$N$11</f>
        <v>2.3502831135385764E-3</v>
      </c>
      <c r="AI78" s="19"/>
      <c r="AJ78" s="19">
        <f t="shared" si="28"/>
        <v>566.14763695707052</v>
      </c>
      <c r="AK78" s="19"/>
    </row>
    <row r="79" spans="1:37" ht="15" thickBot="1">
      <c r="A79" s="364" t="s">
        <v>292</v>
      </c>
      <c r="B79" s="365"/>
      <c r="C79" s="366"/>
      <c r="D79" s="365"/>
      <c r="E79" s="365"/>
      <c r="F79" s="365"/>
      <c r="G79" s="365"/>
      <c r="H79" s="367"/>
      <c r="I79" s="19"/>
      <c r="J79" s="309" t="s">
        <v>271</v>
      </c>
      <c r="K79" s="20" t="s">
        <v>272</v>
      </c>
      <c r="L79" s="3"/>
      <c r="M79" s="3"/>
      <c r="N79" s="3"/>
      <c r="O79" s="3"/>
      <c r="P79" s="3">
        <f t="shared" si="25"/>
        <v>2.3603096267739564E-2</v>
      </c>
      <c r="Q79" s="3">
        <f t="shared" si="25"/>
        <v>0</v>
      </c>
      <c r="R79" s="3">
        <f t="shared" si="25"/>
        <v>0</v>
      </c>
      <c r="S79" s="3">
        <f t="shared" si="25"/>
        <v>0</v>
      </c>
      <c r="T79" s="3">
        <f t="shared" si="25"/>
        <v>0</v>
      </c>
      <c r="U79" s="3">
        <f t="shared" si="25"/>
        <v>0</v>
      </c>
      <c r="V79" s="3"/>
      <c r="W79" s="3"/>
      <c r="X79" s="3"/>
      <c r="Y79" s="3"/>
      <c r="Z79" s="3"/>
      <c r="AA79" s="3"/>
      <c r="AB79" s="3"/>
      <c r="AC79" s="3">
        <f t="shared" si="26"/>
        <v>1.3874336136823951E-2</v>
      </c>
      <c r="AD79" s="335">
        <f t="shared" si="26"/>
        <v>9.7287601309156129E-3</v>
      </c>
      <c r="AE79" s="347">
        <f t="shared" si="29"/>
        <v>2.3362964662281806E-2</v>
      </c>
      <c r="AF79" s="319">
        <f t="shared" si="27"/>
        <v>2.3603096267739564E-2</v>
      </c>
      <c r="AG79" s="19"/>
      <c r="AH79" s="342">
        <f>AF79*'[1]BOF_Composition Norm'!$N$11</f>
        <v>2.3502831135385764E-3</v>
      </c>
      <c r="AI79" s="19"/>
      <c r="AJ79" s="19">
        <f t="shared" si="28"/>
        <v>566.14763695707052</v>
      </c>
      <c r="AK79" s="19"/>
    </row>
    <row r="80" spans="1:37">
      <c r="B80" s="19"/>
      <c r="D80" s="19"/>
      <c r="E80" s="19"/>
      <c r="F80" s="19"/>
      <c r="G80" s="19"/>
      <c r="H80" s="19"/>
      <c r="I80" s="19"/>
      <c r="J80" s="310" t="s">
        <v>273</v>
      </c>
      <c r="K80" s="359" t="s">
        <v>274</v>
      </c>
      <c r="L80" s="3"/>
      <c r="M80" s="3"/>
      <c r="N80" s="3"/>
      <c r="O80" s="3"/>
      <c r="P80" s="3">
        <f t="shared" si="25"/>
        <v>0.34571723493039003</v>
      </c>
      <c r="Q80" s="3">
        <f t="shared" si="25"/>
        <v>5.9976474160905466E-3</v>
      </c>
      <c r="R80" s="3">
        <f t="shared" si="25"/>
        <v>1.4741741292438311E-3</v>
      </c>
      <c r="S80" s="3">
        <f t="shared" si="25"/>
        <v>0.3343995915374095</v>
      </c>
      <c r="T80" s="3">
        <f t="shared" si="25"/>
        <v>1.9381450044561315E-3</v>
      </c>
      <c r="U80" s="3">
        <f t="shared" si="25"/>
        <v>1.907676843189983E-3</v>
      </c>
      <c r="V80" s="3"/>
      <c r="W80" s="3"/>
      <c r="X80" s="3"/>
      <c r="Y80" s="3"/>
      <c r="Z80" s="3"/>
      <c r="AA80" s="3"/>
      <c r="AB80" s="3"/>
      <c r="AC80" s="3">
        <f t="shared" si="26"/>
        <v>0</v>
      </c>
      <c r="AD80" s="335">
        <f t="shared" si="26"/>
        <v>0</v>
      </c>
      <c r="AE80" s="19">
        <v>0.3422</v>
      </c>
      <c r="AF80" s="319">
        <f t="shared" si="27"/>
        <v>0.34571723493039003</v>
      </c>
      <c r="AG80" s="19"/>
      <c r="AH80" s="342">
        <f>AF80*'[1]BOF_Composition Norm'!$N$11</f>
        <v>3.442486401357036E-2</v>
      </c>
      <c r="AI80" s="19"/>
      <c r="AJ80" s="19">
        <f t="shared" si="28"/>
        <v>505.07412017651393</v>
      </c>
      <c r="AK80" s="19"/>
    </row>
    <row r="81" spans="2:37" ht="15" thickBot="1">
      <c r="B81" s="19"/>
      <c r="D81" s="19"/>
      <c r="E81" s="19"/>
      <c r="F81" s="19"/>
      <c r="G81" s="19"/>
      <c r="H81" s="19"/>
      <c r="I81" s="19"/>
      <c r="J81" s="185" t="s">
        <v>275</v>
      </c>
      <c r="K81" s="359" t="s">
        <v>276</v>
      </c>
      <c r="L81" s="3"/>
      <c r="M81" s="3"/>
      <c r="N81" s="3"/>
      <c r="O81" s="3"/>
      <c r="P81" s="3">
        <f t="shared" si="25"/>
        <v>8.1832542458683794E-2</v>
      </c>
      <c r="Q81" s="3">
        <f t="shared" si="25"/>
        <v>0</v>
      </c>
      <c r="R81" s="3">
        <f t="shared" si="25"/>
        <v>0</v>
      </c>
      <c r="S81" s="3">
        <f t="shared" si="25"/>
        <v>0</v>
      </c>
      <c r="T81" s="3">
        <f t="shared" si="25"/>
        <v>0</v>
      </c>
      <c r="U81" s="3">
        <f t="shared" si="25"/>
        <v>0</v>
      </c>
      <c r="V81" s="3"/>
      <c r="W81" s="3"/>
      <c r="X81" s="3"/>
      <c r="Y81" s="3"/>
      <c r="Z81" s="3"/>
      <c r="AA81" s="3"/>
      <c r="AB81" s="3"/>
      <c r="AC81" s="3">
        <f t="shared" si="26"/>
        <v>0</v>
      </c>
      <c r="AD81" s="335">
        <f t="shared" si="26"/>
        <v>0</v>
      </c>
      <c r="AE81" s="19">
        <v>4.0500000000000001E-2</v>
      </c>
      <c r="AF81" s="319">
        <f t="shared" si="27"/>
        <v>4.0916271229341897E-2</v>
      </c>
      <c r="AG81" s="19"/>
      <c r="AH81" s="342">
        <f>AF81*'[1]BOF_Composition Norm'!$N$11</f>
        <v>4.0742460331665686E-3</v>
      </c>
      <c r="AI81" s="19"/>
      <c r="AJ81" s="19">
        <f t="shared" si="28"/>
        <v>508.86399999999998</v>
      </c>
      <c r="AK81" s="19"/>
    </row>
    <row r="82" spans="2:37" ht="15" thickBot="1">
      <c r="B82" s="19"/>
      <c r="D82" s="19"/>
      <c r="E82" s="19"/>
      <c r="F82" s="19"/>
      <c r="G82" s="19"/>
      <c r="H82" s="19"/>
      <c r="I82" s="19"/>
      <c r="J82" s="19"/>
      <c r="K82" s="183" t="s">
        <v>285</v>
      </c>
      <c r="L82" s="26"/>
      <c r="M82" s="26"/>
      <c r="N82" s="26"/>
      <c r="O82" s="26"/>
      <c r="P82" s="26">
        <f>SUM(P69:P81)</f>
        <v>2.1457188653667343</v>
      </c>
      <c r="Q82" s="26">
        <f>SUM(Q69:U81)</f>
        <v>1.6507199134048978</v>
      </c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>
        <f>SUM(AC69:AD81)</f>
        <v>0.11801548133869783</v>
      </c>
      <c r="AD82" s="352"/>
      <c r="AE82" s="353">
        <f>SUM(AE69:AE81)</f>
        <v>1.9373148233114086</v>
      </c>
      <c r="AF82" s="330">
        <f>SUM(AF69:AF81)</f>
        <v>1.9572271300551651</v>
      </c>
      <c r="AG82" s="19"/>
      <c r="AH82" s="354">
        <f>SUM(AH69:AH81)</f>
        <v>0.19489128972521727</v>
      </c>
      <c r="AI82" s="19"/>
      <c r="AJ82" s="19"/>
      <c r="AK82" s="19"/>
    </row>
    <row r="83" spans="2:37" ht="15" thickBot="1">
      <c r="B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</row>
    <row r="84" spans="2:37" ht="15" thickBot="1">
      <c r="B84" s="19"/>
      <c r="D84" s="19"/>
      <c r="E84" s="19"/>
      <c r="F84" s="19"/>
      <c r="G84" s="19"/>
      <c r="H84" s="19"/>
      <c r="I84" s="19"/>
      <c r="J84" s="19"/>
      <c r="K84" s="186" t="s">
        <v>214</v>
      </c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333"/>
      <c r="AE84" s="304"/>
      <c r="AF84" s="317" t="s">
        <v>277</v>
      </c>
      <c r="AG84" s="19"/>
      <c r="AH84" s="334" t="s">
        <v>71</v>
      </c>
      <c r="AI84" s="19"/>
      <c r="AJ84" s="19"/>
      <c r="AK84" s="19" t="s">
        <v>284</v>
      </c>
    </row>
    <row r="85" spans="2:37">
      <c r="B85" s="19"/>
      <c r="D85" s="19"/>
      <c r="E85" s="19"/>
      <c r="F85" s="19"/>
      <c r="G85" s="19"/>
      <c r="H85" s="19"/>
      <c r="I85" s="19"/>
      <c r="J85" s="235" t="s">
        <v>251</v>
      </c>
      <c r="K85" s="20" t="s">
        <v>252</v>
      </c>
      <c r="L85" s="3"/>
      <c r="M85" s="3"/>
      <c r="N85" s="3"/>
      <c r="O85" s="3"/>
      <c r="P85" s="3">
        <f t="shared" ref="P85:U97" si="30">P37*$AF85</f>
        <v>2.3545258409453342E-2</v>
      </c>
      <c r="Q85" s="3">
        <f t="shared" si="30"/>
        <v>0</v>
      </c>
      <c r="R85" s="3">
        <f t="shared" si="30"/>
        <v>0</v>
      </c>
      <c r="S85" s="3">
        <f t="shared" si="30"/>
        <v>0</v>
      </c>
      <c r="T85" s="3">
        <f t="shared" si="30"/>
        <v>0</v>
      </c>
      <c r="U85" s="3">
        <f t="shared" si="30"/>
        <v>0</v>
      </c>
      <c r="V85" s="3"/>
      <c r="W85" s="3"/>
      <c r="X85" s="3"/>
      <c r="Y85" s="3"/>
      <c r="Z85" s="3"/>
      <c r="AA85" s="3"/>
      <c r="AB85" s="3"/>
      <c r="AC85" s="3">
        <f t="shared" ref="AC85:AD97" si="31">AC37*$AF85</f>
        <v>0</v>
      </c>
      <c r="AD85" s="335">
        <f t="shared" si="31"/>
        <v>0</v>
      </c>
      <c r="AE85" s="347">
        <v>1.1599999999999999E-2</v>
      </c>
      <c r="AF85" s="319">
        <f t="shared" ref="AF85:AF97" si="32">AE85/AE$98*(G$57/2)</f>
        <v>1.1772629204726671E-2</v>
      </c>
      <c r="AG85" s="19"/>
      <c r="AH85" s="336">
        <f>AF85*'[1]BOF_Composition Norm'!$O$11</f>
        <v>1.0518183177225108E-3</v>
      </c>
      <c r="AI85" s="19"/>
      <c r="AJ85" s="19">
        <f>SUMPRODUCT(P85:AD85,P$12:AD$12)/AF85</f>
        <v>508.86399999999992</v>
      </c>
      <c r="AK85" s="19"/>
    </row>
    <row r="86" spans="2:37">
      <c r="B86" s="19"/>
      <c r="D86" s="19"/>
      <c r="E86" s="19"/>
      <c r="F86" s="19"/>
      <c r="G86" s="19"/>
      <c r="H86" s="19"/>
      <c r="I86" s="19"/>
      <c r="J86" s="235" t="s">
        <v>253</v>
      </c>
      <c r="K86" s="20" t="s">
        <v>278</v>
      </c>
      <c r="L86" s="3"/>
      <c r="M86" s="3"/>
      <c r="N86" s="3"/>
      <c r="O86" s="3"/>
      <c r="P86" s="3">
        <f t="shared" si="30"/>
        <v>0.15974239972620505</v>
      </c>
      <c r="Q86" s="3">
        <f t="shared" si="30"/>
        <v>2.7712780681902814E-3</v>
      </c>
      <c r="R86" s="3">
        <f t="shared" si="30"/>
        <v>6.8115815246270182E-4</v>
      </c>
      <c r="S86" s="3">
        <f t="shared" si="30"/>
        <v>0.15451295979040272</v>
      </c>
      <c r="T86" s="3">
        <f t="shared" si="30"/>
        <v>8.9554092983393609E-4</v>
      </c>
      <c r="U86" s="3">
        <f t="shared" si="30"/>
        <v>8.8146278531539752E-4</v>
      </c>
      <c r="V86" s="3"/>
      <c r="W86" s="3"/>
      <c r="X86" s="3"/>
      <c r="Y86" s="3"/>
      <c r="Z86" s="3"/>
      <c r="AA86" s="3"/>
      <c r="AB86" s="3"/>
      <c r="AC86" s="3">
        <f t="shared" si="31"/>
        <v>0</v>
      </c>
      <c r="AD86" s="335">
        <f t="shared" si="31"/>
        <v>0</v>
      </c>
      <c r="AE86" s="347">
        <v>0.15740000000000001</v>
      </c>
      <c r="AF86" s="319">
        <f t="shared" si="32"/>
        <v>0.15974239972620505</v>
      </c>
      <c r="AG86" s="19"/>
      <c r="AH86" s="342">
        <f>AF86*'[1]BOF_Composition Norm'!$O$11</f>
        <v>1.4272086483579591E-2</v>
      </c>
      <c r="AI86" s="19"/>
      <c r="AJ86" s="19">
        <f t="shared" ref="AJ86:AJ97" si="33">SUMPRODUCT(P86:AD86,P$12:AD$12)/AF86</f>
        <v>505.07412017651399</v>
      </c>
      <c r="AK86" s="19"/>
    </row>
    <row r="87" spans="2:37">
      <c r="B87" s="19"/>
      <c r="D87" s="19"/>
      <c r="E87" s="19"/>
      <c r="F87" s="19"/>
      <c r="G87" s="19"/>
      <c r="H87" s="19"/>
      <c r="I87" s="19"/>
      <c r="J87" s="235" t="s">
        <v>255</v>
      </c>
      <c r="K87" s="20" t="s">
        <v>256</v>
      </c>
      <c r="L87" s="3"/>
      <c r="M87" s="3"/>
      <c r="N87" s="3"/>
      <c r="O87" s="3"/>
      <c r="P87" s="3">
        <f t="shared" si="30"/>
        <v>1.0150848043592773</v>
      </c>
      <c r="Q87" s="3">
        <f t="shared" si="30"/>
        <v>1.7610116415526803E-2</v>
      </c>
      <c r="R87" s="3">
        <f t="shared" si="30"/>
        <v>4.3284268366784893E-3</v>
      </c>
      <c r="S87" s="3">
        <f t="shared" si="30"/>
        <v>0.98185427180661222</v>
      </c>
      <c r="T87" s="3">
        <f t="shared" si="30"/>
        <v>5.6907245109269547E-3</v>
      </c>
      <c r="U87" s="3">
        <f t="shared" si="30"/>
        <v>5.6012647895327845E-3</v>
      </c>
      <c r="V87" s="3"/>
      <c r="W87" s="3"/>
      <c r="X87" s="3"/>
      <c r="Y87" s="3"/>
      <c r="Z87" s="3"/>
      <c r="AA87" s="3"/>
      <c r="AB87" s="3"/>
      <c r="AC87" s="3">
        <f t="shared" si="31"/>
        <v>0</v>
      </c>
      <c r="AD87" s="335">
        <f t="shared" si="31"/>
        <v>0</v>
      </c>
      <c r="AE87" s="347">
        <v>1.0002</v>
      </c>
      <c r="AF87" s="319">
        <f t="shared" si="32"/>
        <v>1.0150848043592773</v>
      </c>
      <c r="AG87" s="19"/>
      <c r="AH87" s="342">
        <f>AF87*'[1]BOF_Composition Norm'!$O$11</f>
        <v>9.0692127705694431E-2</v>
      </c>
      <c r="AI87" s="19"/>
      <c r="AJ87" s="19">
        <f t="shared" si="33"/>
        <v>505.07412017651399</v>
      </c>
      <c r="AK87" s="19"/>
    </row>
    <row r="88" spans="2:37">
      <c r="B88" s="19"/>
      <c r="D88" s="19"/>
      <c r="E88" s="19"/>
      <c r="F88" s="19"/>
      <c r="G88" s="19"/>
      <c r="H88" s="19"/>
      <c r="I88" s="19"/>
      <c r="J88" s="235" t="s">
        <v>257</v>
      </c>
      <c r="K88" s="20" t="s">
        <v>258</v>
      </c>
      <c r="L88" s="3"/>
      <c r="M88" s="3"/>
      <c r="N88" s="3"/>
      <c r="O88" s="3"/>
      <c r="P88" s="3">
        <f t="shared" si="30"/>
        <v>0.17100758801693489</v>
      </c>
      <c r="Q88" s="3">
        <f t="shared" si="30"/>
        <v>2.9667112737615147E-3</v>
      </c>
      <c r="R88" s="3">
        <f t="shared" si="30"/>
        <v>7.291940831636929E-4</v>
      </c>
      <c r="S88" s="3">
        <f t="shared" si="30"/>
        <v>0.16540936292682884</v>
      </c>
      <c r="T88" s="3">
        <f t="shared" si="30"/>
        <v>9.5869534102298759E-4</v>
      </c>
      <c r="U88" s="3">
        <f t="shared" si="30"/>
        <v>9.4362439215784299E-4</v>
      </c>
      <c r="V88" s="3"/>
      <c r="W88" s="3"/>
      <c r="X88" s="3"/>
      <c r="Y88" s="3"/>
      <c r="Z88" s="3"/>
      <c r="AA88" s="3"/>
      <c r="AB88" s="3"/>
      <c r="AC88" s="3">
        <f t="shared" si="31"/>
        <v>0</v>
      </c>
      <c r="AD88" s="335">
        <f t="shared" si="31"/>
        <v>0</v>
      </c>
      <c r="AE88" s="347">
        <v>0.16850000000000001</v>
      </c>
      <c r="AF88" s="319">
        <f t="shared" si="32"/>
        <v>0.17100758801693489</v>
      </c>
      <c r="AG88" s="19"/>
      <c r="AH88" s="342">
        <f>AF88*'[1]BOF_Composition Norm'!$O$11</f>
        <v>1.5278567804848545E-2</v>
      </c>
      <c r="AI88" s="19"/>
      <c r="AJ88" s="19">
        <f t="shared" si="33"/>
        <v>505.07412017651399</v>
      </c>
      <c r="AK88" s="19"/>
    </row>
    <row r="89" spans="2:37">
      <c r="B89" s="19"/>
      <c r="D89" s="19"/>
      <c r="E89" s="19"/>
      <c r="F89" s="19"/>
      <c r="G89" s="19"/>
      <c r="H89" s="19"/>
      <c r="I89" s="19"/>
      <c r="J89" s="235" t="s">
        <v>259</v>
      </c>
      <c r="K89" s="358" t="s">
        <v>260</v>
      </c>
      <c r="L89" s="3"/>
      <c r="M89" s="3"/>
      <c r="N89" s="3"/>
      <c r="O89" s="3"/>
      <c r="P89" s="3">
        <f t="shared" si="30"/>
        <v>2.6792880259033116E-2</v>
      </c>
      <c r="Q89" s="3">
        <f t="shared" si="30"/>
        <v>0</v>
      </c>
      <c r="R89" s="3">
        <f t="shared" si="30"/>
        <v>0</v>
      </c>
      <c r="S89" s="3">
        <f t="shared" si="30"/>
        <v>0</v>
      </c>
      <c r="T89" s="3">
        <f t="shared" si="30"/>
        <v>0</v>
      </c>
      <c r="U89" s="3">
        <f t="shared" si="30"/>
        <v>0</v>
      </c>
      <c r="V89" s="3"/>
      <c r="W89" s="3"/>
      <c r="X89" s="3"/>
      <c r="Y89" s="3"/>
      <c r="Z89" s="3"/>
      <c r="AA89" s="3"/>
      <c r="AB89" s="3"/>
      <c r="AC89" s="3">
        <f t="shared" si="31"/>
        <v>0</v>
      </c>
      <c r="AD89" s="335">
        <f t="shared" si="31"/>
        <v>0</v>
      </c>
      <c r="AE89" s="347">
        <v>1.32E-2</v>
      </c>
      <c r="AF89" s="319">
        <f t="shared" si="32"/>
        <v>1.3396440129516558E-2</v>
      </c>
      <c r="AG89" s="19"/>
      <c r="AH89" s="342">
        <f>AF89*'[1]BOF_Composition Norm'!$O$11</f>
        <v>1.1968967063738917E-3</v>
      </c>
      <c r="AI89" s="19"/>
      <c r="AJ89" s="19">
        <f t="shared" si="33"/>
        <v>508.86399999999998</v>
      </c>
      <c r="AK89" s="19"/>
    </row>
    <row r="90" spans="2:37">
      <c r="B90" s="19"/>
      <c r="D90" s="19"/>
      <c r="E90" s="19"/>
      <c r="F90" s="19"/>
      <c r="G90" s="19"/>
      <c r="H90" s="19"/>
      <c r="I90" s="19"/>
      <c r="J90" s="235" t="s">
        <v>261</v>
      </c>
      <c r="K90" s="358" t="s">
        <v>262</v>
      </c>
      <c r="L90" s="3"/>
      <c r="M90" s="3"/>
      <c r="N90" s="3"/>
      <c r="O90" s="3"/>
      <c r="P90" s="3">
        <f t="shared" si="30"/>
        <v>8.748281357305511E-2</v>
      </c>
      <c r="Q90" s="3">
        <f t="shared" si="30"/>
        <v>0</v>
      </c>
      <c r="R90" s="3">
        <f t="shared" si="30"/>
        <v>0</v>
      </c>
      <c r="S90" s="3">
        <f t="shared" si="30"/>
        <v>0</v>
      </c>
      <c r="T90" s="3">
        <f t="shared" si="30"/>
        <v>0</v>
      </c>
      <c r="U90" s="3">
        <f t="shared" si="30"/>
        <v>0</v>
      </c>
      <c r="V90" s="3"/>
      <c r="W90" s="3"/>
      <c r="X90" s="3"/>
      <c r="Y90" s="3"/>
      <c r="Z90" s="3"/>
      <c r="AA90" s="3"/>
      <c r="AB90" s="3"/>
      <c r="AC90" s="3">
        <f t="shared" si="31"/>
        <v>0</v>
      </c>
      <c r="AD90" s="335">
        <f t="shared" si="31"/>
        <v>0</v>
      </c>
      <c r="AE90" s="347">
        <v>4.3099999999999999E-2</v>
      </c>
      <c r="AF90" s="319">
        <f t="shared" si="32"/>
        <v>4.3741406786527555E-2</v>
      </c>
      <c r="AG90" s="19"/>
      <c r="AH90" s="342">
        <f>AF90*'[1]BOF_Composition Norm'!$O$11</f>
        <v>3.9080490942965717E-3</v>
      </c>
      <c r="AI90" s="19"/>
      <c r="AJ90" s="19">
        <f t="shared" si="33"/>
        <v>508.86399999999998</v>
      </c>
      <c r="AK90" s="19"/>
    </row>
    <row r="91" spans="2:37">
      <c r="B91" s="19"/>
      <c r="D91" s="19"/>
      <c r="E91" s="19"/>
      <c r="F91" s="19"/>
      <c r="G91" s="19"/>
      <c r="H91" s="19"/>
      <c r="I91" s="19"/>
      <c r="J91" s="309" t="s">
        <v>263</v>
      </c>
      <c r="K91" s="20" t="s">
        <v>264</v>
      </c>
      <c r="L91" s="3"/>
      <c r="M91" s="3"/>
      <c r="N91" s="3"/>
      <c r="O91" s="3"/>
      <c r="P91" s="3">
        <f t="shared" si="30"/>
        <v>0</v>
      </c>
      <c r="Q91" s="3">
        <f t="shared" si="30"/>
        <v>5.7749631916544607E-4</v>
      </c>
      <c r="R91" s="3">
        <f t="shared" si="30"/>
        <v>1.419440114407663E-4</v>
      </c>
      <c r="S91" s="3">
        <f t="shared" si="30"/>
        <v>3.2198380439169047E-2</v>
      </c>
      <c r="T91" s="3">
        <f t="shared" si="30"/>
        <v>1.8661844027035007E-4</v>
      </c>
      <c r="U91" s="3">
        <f t="shared" si="30"/>
        <v>1.8368474814704595E-4</v>
      </c>
      <c r="V91" s="3"/>
      <c r="W91" s="3"/>
      <c r="X91" s="3"/>
      <c r="Y91" s="3"/>
      <c r="Z91" s="3"/>
      <c r="AA91" s="3"/>
      <c r="AB91" s="3"/>
      <c r="AC91" s="3">
        <f t="shared" si="31"/>
        <v>1.9567374378397954E-2</v>
      </c>
      <c r="AD91" s="335">
        <f t="shared" si="31"/>
        <v>1.3720749579794704E-2</v>
      </c>
      <c r="AE91" s="347">
        <f>0.164/5</f>
        <v>3.2800000000000003E-2</v>
      </c>
      <c r="AF91" s="319">
        <f t="shared" si="32"/>
        <v>3.328812395819266E-2</v>
      </c>
      <c r="AG91" s="19"/>
      <c r="AH91" s="342">
        <f>AF91*'[1]BOF_Composition Norm'!$O$11</f>
        <v>2.9741069673533066E-3</v>
      </c>
      <c r="AI91" s="19"/>
      <c r="AJ91" s="19">
        <f t="shared" si="33"/>
        <v>562.35775713358453</v>
      </c>
      <c r="AK91" s="19"/>
    </row>
    <row r="92" spans="2:37">
      <c r="B92" s="19"/>
      <c r="D92" s="19"/>
      <c r="E92" s="19"/>
      <c r="F92" s="19"/>
      <c r="G92" s="19"/>
      <c r="H92" s="19"/>
      <c r="I92" s="19"/>
      <c r="J92" s="309" t="s">
        <v>265</v>
      </c>
      <c r="K92" s="20" t="s">
        <v>266</v>
      </c>
      <c r="L92" s="3"/>
      <c r="M92" s="3"/>
      <c r="N92" s="3"/>
      <c r="O92" s="3"/>
      <c r="P92" s="3">
        <f t="shared" si="30"/>
        <v>0</v>
      </c>
      <c r="Q92" s="3">
        <f t="shared" si="30"/>
        <v>5.7749631916544607E-4</v>
      </c>
      <c r="R92" s="3">
        <f t="shared" si="30"/>
        <v>1.419440114407663E-4</v>
      </c>
      <c r="S92" s="3">
        <f t="shared" si="30"/>
        <v>3.2198380439169047E-2</v>
      </c>
      <c r="T92" s="3">
        <f t="shared" si="30"/>
        <v>1.8661844027035007E-4</v>
      </c>
      <c r="U92" s="3">
        <f t="shared" si="30"/>
        <v>1.8368474814704595E-4</v>
      </c>
      <c r="V92" s="3"/>
      <c r="W92" s="3"/>
      <c r="X92" s="3"/>
      <c r="Y92" s="3"/>
      <c r="Z92" s="3"/>
      <c r="AA92" s="3"/>
      <c r="AB92" s="3"/>
      <c r="AC92" s="3">
        <f t="shared" si="31"/>
        <v>1.9567374378397954E-2</v>
      </c>
      <c r="AD92" s="335">
        <f t="shared" si="31"/>
        <v>1.3720749579794704E-2</v>
      </c>
      <c r="AE92" s="347">
        <f>AE91</f>
        <v>3.2800000000000003E-2</v>
      </c>
      <c r="AF92" s="319">
        <f t="shared" si="32"/>
        <v>3.328812395819266E-2</v>
      </c>
      <c r="AG92" s="19"/>
      <c r="AH92" s="342">
        <f>AF92*'[1]BOF_Composition Norm'!$O$11</f>
        <v>2.9741069673533066E-3</v>
      </c>
      <c r="AI92" s="19"/>
      <c r="AJ92" s="19">
        <f t="shared" si="33"/>
        <v>562.35775713358453</v>
      </c>
      <c r="AK92" s="19"/>
    </row>
    <row r="93" spans="2:37">
      <c r="B93" s="19"/>
      <c r="D93" s="19"/>
      <c r="E93" s="19"/>
      <c r="F93" s="19"/>
      <c r="G93" s="19"/>
      <c r="H93" s="19"/>
      <c r="I93" s="19"/>
      <c r="J93" s="309" t="s">
        <v>267</v>
      </c>
      <c r="K93" s="20" t="s">
        <v>268</v>
      </c>
      <c r="L93" s="3"/>
      <c r="M93" s="3"/>
      <c r="N93" s="3"/>
      <c r="O93" s="3"/>
      <c r="P93" s="3">
        <f t="shared" si="30"/>
        <v>3.328812395819266E-2</v>
      </c>
      <c r="Q93" s="3">
        <f t="shared" si="30"/>
        <v>0</v>
      </c>
      <c r="R93" s="3">
        <f t="shared" si="30"/>
        <v>0</v>
      </c>
      <c r="S93" s="3">
        <f t="shared" si="30"/>
        <v>0</v>
      </c>
      <c r="T93" s="3">
        <f t="shared" si="30"/>
        <v>0</v>
      </c>
      <c r="U93" s="3">
        <f t="shared" si="30"/>
        <v>0</v>
      </c>
      <c r="V93" s="3"/>
      <c r="W93" s="3"/>
      <c r="X93" s="3"/>
      <c r="Y93" s="3"/>
      <c r="Z93" s="3"/>
      <c r="AA93" s="3"/>
      <c r="AB93" s="3"/>
      <c r="AC93" s="3">
        <f t="shared" si="31"/>
        <v>1.9567374378397954E-2</v>
      </c>
      <c r="AD93" s="335">
        <f t="shared" si="31"/>
        <v>1.3720749579794704E-2</v>
      </c>
      <c r="AE93" s="347">
        <f t="shared" ref="AE93:AE95" si="34">AE92</f>
        <v>3.2800000000000003E-2</v>
      </c>
      <c r="AF93" s="319">
        <f t="shared" si="32"/>
        <v>3.328812395819266E-2</v>
      </c>
      <c r="AG93" s="19"/>
      <c r="AH93" s="342">
        <f>AF93*'[1]BOF_Composition Norm'!$O$11</f>
        <v>2.9741069673533066E-3</v>
      </c>
      <c r="AI93" s="19"/>
      <c r="AJ93" s="19">
        <f t="shared" si="33"/>
        <v>566.14763695707052</v>
      </c>
      <c r="AK93" s="19"/>
    </row>
    <row r="94" spans="2:37">
      <c r="B94" s="19"/>
      <c r="D94" s="19"/>
      <c r="E94" s="19"/>
      <c r="F94" s="19"/>
      <c r="G94" s="19"/>
      <c r="H94" s="19"/>
      <c r="I94" s="19"/>
      <c r="J94" s="309" t="s">
        <v>269</v>
      </c>
      <c r="K94" s="20" t="s">
        <v>270</v>
      </c>
      <c r="L94" s="3"/>
      <c r="M94" s="3"/>
      <c r="N94" s="3"/>
      <c r="O94" s="3"/>
      <c r="P94" s="3">
        <f t="shared" si="30"/>
        <v>3.328812395819266E-2</v>
      </c>
      <c r="Q94" s="3">
        <f t="shared" si="30"/>
        <v>0</v>
      </c>
      <c r="R94" s="3">
        <f t="shared" si="30"/>
        <v>0</v>
      </c>
      <c r="S94" s="3">
        <f t="shared" si="30"/>
        <v>0</v>
      </c>
      <c r="T94" s="3">
        <f t="shared" si="30"/>
        <v>0</v>
      </c>
      <c r="U94" s="3">
        <f t="shared" si="30"/>
        <v>0</v>
      </c>
      <c r="V94" s="3"/>
      <c r="W94" s="3"/>
      <c r="X94" s="3"/>
      <c r="Y94" s="3"/>
      <c r="Z94" s="3"/>
      <c r="AA94" s="3"/>
      <c r="AB94" s="3"/>
      <c r="AC94" s="3">
        <f t="shared" si="31"/>
        <v>1.9567374378397954E-2</v>
      </c>
      <c r="AD94" s="335">
        <f t="shared" si="31"/>
        <v>1.3720749579794704E-2</v>
      </c>
      <c r="AE94" s="347">
        <f t="shared" si="34"/>
        <v>3.2800000000000003E-2</v>
      </c>
      <c r="AF94" s="319">
        <f t="shared" si="32"/>
        <v>3.328812395819266E-2</v>
      </c>
      <c r="AG94" s="19"/>
      <c r="AH94" s="342">
        <f>AF94*'[1]BOF_Composition Norm'!$O$11</f>
        <v>2.9741069673533066E-3</v>
      </c>
      <c r="AI94" s="19"/>
      <c r="AJ94" s="19">
        <f t="shared" si="33"/>
        <v>566.14763695707052</v>
      </c>
      <c r="AK94" s="19"/>
    </row>
    <row r="95" spans="2:37">
      <c r="B95" s="19"/>
      <c r="D95" s="19"/>
      <c r="E95" s="19"/>
      <c r="F95" s="19"/>
      <c r="G95" s="19"/>
      <c r="H95" s="19"/>
      <c r="I95" s="19"/>
      <c r="J95" s="309" t="s">
        <v>271</v>
      </c>
      <c r="K95" s="20" t="s">
        <v>272</v>
      </c>
      <c r="L95" s="3"/>
      <c r="M95" s="3"/>
      <c r="N95" s="3"/>
      <c r="O95" s="3"/>
      <c r="P95" s="3">
        <f t="shared" si="30"/>
        <v>3.328812395819266E-2</v>
      </c>
      <c r="Q95" s="3">
        <f t="shared" si="30"/>
        <v>0</v>
      </c>
      <c r="R95" s="3">
        <f t="shared" si="30"/>
        <v>0</v>
      </c>
      <c r="S95" s="3">
        <f t="shared" si="30"/>
        <v>0</v>
      </c>
      <c r="T95" s="3">
        <f t="shared" si="30"/>
        <v>0</v>
      </c>
      <c r="U95" s="3">
        <f t="shared" si="30"/>
        <v>0</v>
      </c>
      <c r="V95" s="3"/>
      <c r="W95" s="3"/>
      <c r="X95" s="3"/>
      <c r="Y95" s="3"/>
      <c r="Z95" s="3"/>
      <c r="AA95" s="3"/>
      <c r="AB95" s="3"/>
      <c r="AC95" s="3">
        <f t="shared" si="31"/>
        <v>1.9567374378397954E-2</v>
      </c>
      <c r="AD95" s="335">
        <f t="shared" si="31"/>
        <v>1.3720749579794704E-2</v>
      </c>
      <c r="AE95" s="347">
        <f t="shared" si="34"/>
        <v>3.2800000000000003E-2</v>
      </c>
      <c r="AF95" s="319">
        <f t="shared" si="32"/>
        <v>3.328812395819266E-2</v>
      </c>
      <c r="AG95" s="19"/>
      <c r="AH95" s="342">
        <f>AF95*'[1]BOF_Composition Norm'!$O$11</f>
        <v>2.9741069673533066E-3</v>
      </c>
      <c r="AI95" s="19"/>
      <c r="AJ95" s="19">
        <f t="shared" si="33"/>
        <v>566.14763695707052</v>
      </c>
      <c r="AK95" s="19"/>
    </row>
    <row r="96" spans="2:37">
      <c r="B96" s="19"/>
      <c r="D96" s="19"/>
      <c r="E96" s="19"/>
      <c r="F96" s="19"/>
      <c r="G96" s="19"/>
      <c r="H96" s="19"/>
      <c r="I96" s="19"/>
      <c r="J96" s="310" t="s">
        <v>273</v>
      </c>
      <c r="K96" s="359" t="s">
        <v>274</v>
      </c>
      <c r="L96" s="3"/>
      <c r="M96" s="3"/>
      <c r="N96" s="3"/>
      <c r="O96" s="3"/>
      <c r="P96" s="3">
        <f t="shared" si="30"/>
        <v>0.37388246543287124</v>
      </c>
      <c r="Q96" s="3">
        <f t="shared" si="30"/>
        <v>6.4862696335533645E-3</v>
      </c>
      <c r="R96" s="3">
        <f t="shared" si="30"/>
        <v>1.5942735919139729E-3</v>
      </c>
      <c r="S96" s="3">
        <f t="shared" si="30"/>
        <v>0.36164278517652071</v>
      </c>
      <c r="T96" s="3">
        <f t="shared" si="30"/>
        <v>2.0960437010852733E-3</v>
      </c>
      <c r="U96" s="3">
        <f t="shared" si="30"/>
        <v>2.0630933297979188E-3</v>
      </c>
      <c r="V96" s="3"/>
      <c r="W96" s="3"/>
      <c r="X96" s="3"/>
      <c r="Y96" s="3"/>
      <c r="Z96" s="3"/>
      <c r="AA96" s="3"/>
      <c r="AB96" s="3"/>
      <c r="AC96" s="3">
        <f t="shared" si="31"/>
        <v>0</v>
      </c>
      <c r="AD96" s="335">
        <f t="shared" si="31"/>
        <v>0</v>
      </c>
      <c r="AE96" s="19">
        <v>0.36840000000000001</v>
      </c>
      <c r="AF96" s="319">
        <f t="shared" si="32"/>
        <v>0.37388246543287124</v>
      </c>
      <c r="AG96" s="19"/>
      <c r="AH96" s="342">
        <f>AF96*'[1]BOF_Composition Norm'!$O$11</f>
        <v>3.3404298986980434E-2</v>
      </c>
      <c r="AI96" s="19"/>
      <c r="AJ96" s="19">
        <f t="shared" si="33"/>
        <v>505.07412017651399</v>
      </c>
      <c r="AK96" s="19"/>
    </row>
    <row r="97" spans="2:37" ht="15" thickBot="1">
      <c r="B97" s="19"/>
      <c r="D97" s="19"/>
      <c r="E97" s="19"/>
      <c r="F97" s="19"/>
      <c r="G97" s="19"/>
      <c r="H97" s="19"/>
      <c r="I97" s="19"/>
      <c r="J97" s="185" t="s">
        <v>275</v>
      </c>
      <c r="K97" s="359" t="s">
        <v>276</v>
      </c>
      <c r="L97" s="3"/>
      <c r="M97" s="3"/>
      <c r="N97" s="3"/>
      <c r="O97" s="3"/>
      <c r="P97" s="3">
        <f t="shared" si="30"/>
        <v>5.6833382367646006E-3</v>
      </c>
      <c r="Q97" s="3">
        <f t="shared" si="30"/>
        <v>0</v>
      </c>
      <c r="R97" s="3">
        <f t="shared" si="30"/>
        <v>0</v>
      </c>
      <c r="S97" s="3">
        <f t="shared" si="30"/>
        <v>0</v>
      </c>
      <c r="T97" s="3">
        <f t="shared" si="30"/>
        <v>0</v>
      </c>
      <c r="U97" s="3">
        <f t="shared" si="30"/>
        <v>0</v>
      </c>
      <c r="V97" s="3"/>
      <c r="W97" s="3"/>
      <c r="X97" s="3"/>
      <c r="Y97" s="3"/>
      <c r="Z97" s="3"/>
      <c r="AA97" s="3"/>
      <c r="AB97" s="3"/>
      <c r="AC97" s="3">
        <f t="shared" si="31"/>
        <v>0</v>
      </c>
      <c r="AD97" s="335">
        <f t="shared" si="31"/>
        <v>0</v>
      </c>
      <c r="AE97" s="19">
        <v>2.8E-3</v>
      </c>
      <c r="AF97" s="319">
        <f t="shared" si="32"/>
        <v>2.8416691183823003E-3</v>
      </c>
      <c r="AG97" s="19"/>
      <c r="AH97" s="342">
        <f>AF97*'[1]BOF_Composition Norm'!$O$11</f>
        <v>2.5388718013991644E-4</v>
      </c>
      <c r="AI97" s="19"/>
      <c r="AJ97" s="19">
        <f t="shared" si="33"/>
        <v>508.86399999999998</v>
      </c>
      <c r="AK97" s="19"/>
    </row>
    <row r="98" spans="2:37" ht="15" thickBot="1">
      <c r="B98" s="19"/>
      <c r="D98" s="19"/>
      <c r="E98" s="19"/>
      <c r="F98" s="19"/>
      <c r="G98" s="19"/>
      <c r="H98" s="19"/>
      <c r="I98" s="19"/>
      <c r="J98" s="19"/>
      <c r="K98" s="183" t="s">
        <v>285</v>
      </c>
      <c r="L98" s="26"/>
      <c r="M98" s="26"/>
      <c r="N98" s="26"/>
      <c r="O98" s="26"/>
      <c r="P98" s="26">
        <f>SUM(P85:P97)</f>
        <v>1.9630859198881725</v>
      </c>
      <c r="Q98" s="26">
        <f>SUM(Q85:U97)</f>
        <v>1.7862935054516733</v>
      </c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>
        <f>SUM(AC85:AD97)</f>
        <v>0.16644061979096331</v>
      </c>
      <c r="AD98" s="352"/>
      <c r="AE98" s="353">
        <f>SUM(AE85:AE97)</f>
        <v>1.9291999999999998</v>
      </c>
      <c r="AF98" s="211">
        <f>SUM(AF85:AF97)</f>
        <v>1.9579100225654045</v>
      </c>
      <c r="AG98" s="19"/>
      <c r="AH98" s="354">
        <f>SUM(AH85:AH97)</f>
        <v>0.17492826711640247</v>
      </c>
      <c r="AI98" s="19"/>
      <c r="AJ98" s="19"/>
      <c r="AK98" s="19"/>
    </row>
    <row r="99" spans="2:37">
      <c r="B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 t="s">
        <v>284</v>
      </c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</row>
  </sheetData>
  <mergeCells count="3">
    <mergeCell ref="D2:AP2"/>
    <mergeCell ref="E35:G35"/>
    <mergeCell ref="A58:C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zoomScale="85" zoomScaleNormal="85" workbookViewId="0">
      <selection activeCell="L10" sqref="L10"/>
    </sheetView>
  </sheetViews>
  <sheetFormatPr defaultRowHeight="14.5"/>
  <cols>
    <col min="2" max="2" width="13.1796875" customWidth="1"/>
    <col min="3" max="3" width="16.6328125" customWidth="1"/>
    <col min="5" max="5" width="10.7265625" customWidth="1"/>
    <col min="6" max="6" width="11.26953125" customWidth="1"/>
    <col min="7" max="7" width="11.08984375" customWidth="1"/>
    <col min="8" max="8" width="12.90625" customWidth="1"/>
    <col min="9" max="9" width="17.7265625" customWidth="1"/>
  </cols>
  <sheetData>
    <row r="1" spans="2:14" ht="15" thickBot="1"/>
    <row r="2" spans="2:14">
      <c r="B2" s="7"/>
      <c r="C2" s="8"/>
      <c r="D2" s="8"/>
      <c r="E2" s="9">
        <v>7942</v>
      </c>
      <c r="F2" s="9" t="s">
        <v>302</v>
      </c>
      <c r="G2" s="10" t="s">
        <v>214</v>
      </c>
      <c r="I2" s="7" t="s">
        <v>69</v>
      </c>
      <c r="J2" s="8"/>
      <c r="K2" s="8"/>
      <c r="L2" s="9">
        <v>7942</v>
      </c>
      <c r="M2" s="9" t="s">
        <v>302</v>
      </c>
      <c r="N2" s="10" t="s">
        <v>214</v>
      </c>
    </row>
    <row r="3" spans="2:14" ht="15.5" customHeight="1">
      <c r="B3" s="11" t="s">
        <v>70</v>
      </c>
      <c r="C3" s="12" t="s">
        <v>71</v>
      </c>
      <c r="D3" s="12" t="s">
        <v>72</v>
      </c>
      <c r="E3" s="272">
        <v>1.4620259793231316E-2</v>
      </c>
      <c r="F3" s="272">
        <v>1.5387764195697163E-2</v>
      </c>
      <c r="G3" s="272">
        <v>1.3437499592963942E-2</v>
      </c>
      <c r="I3" s="13" t="s">
        <v>92</v>
      </c>
      <c r="J3" s="12" t="s">
        <v>71</v>
      </c>
      <c r="K3" s="12"/>
      <c r="L3" s="14">
        <f>E3*2.25</f>
        <v>3.2895584534770463E-2</v>
      </c>
      <c r="M3" s="14">
        <f t="shared" ref="M3:N3" si="0">F3*2.25</f>
        <v>3.4622469440318618E-2</v>
      </c>
      <c r="N3" s="15">
        <f t="shared" si="0"/>
        <v>3.0234374084168871E-2</v>
      </c>
    </row>
    <row r="4" spans="2:14" ht="15" thickBot="1">
      <c r="E4" s="273"/>
      <c r="F4" s="273"/>
      <c r="G4" s="273"/>
      <c r="I4" t="s">
        <v>93</v>
      </c>
    </row>
    <row r="5" spans="2:14">
      <c r="B5" s="16" t="s">
        <v>83</v>
      </c>
      <c r="C5" s="17" t="s">
        <v>84</v>
      </c>
      <c r="D5" s="17" t="s">
        <v>72</v>
      </c>
      <c r="E5" s="274">
        <v>3.7110227993696414</v>
      </c>
      <c r="F5" s="274">
        <v>4.5255890695678493</v>
      </c>
      <c r="G5" s="275">
        <v>3.5808952878653595</v>
      </c>
      <c r="I5" t="s">
        <v>94</v>
      </c>
    </row>
    <row r="6" spans="2:14">
      <c r="B6" s="20" t="s">
        <v>85</v>
      </c>
      <c r="C6" s="1"/>
      <c r="D6" s="1" t="s">
        <v>86</v>
      </c>
      <c r="E6" s="276">
        <v>9.3613060047620281E-2</v>
      </c>
      <c r="F6" s="276">
        <v>1.174127530611515E-2</v>
      </c>
      <c r="G6" s="277">
        <v>3.5318977995633473E-2</v>
      </c>
    </row>
    <row r="7" spans="2:14">
      <c r="B7" s="20" t="s">
        <v>87</v>
      </c>
      <c r="C7" s="1" t="s">
        <v>88</v>
      </c>
      <c r="D7" s="1" t="s">
        <v>72</v>
      </c>
      <c r="E7" s="276">
        <v>6.1440774824000691E-3</v>
      </c>
      <c r="F7" s="276">
        <v>7.4926971350461084E-3</v>
      </c>
      <c r="G7" s="277">
        <v>5.9286345825585417E-3</v>
      </c>
    </row>
    <row r="8" spans="2:14" ht="15" thickBot="1">
      <c r="B8" s="27"/>
      <c r="C8" s="28"/>
      <c r="D8" s="28" t="s">
        <v>86</v>
      </c>
      <c r="E8" s="278">
        <v>1.5498851001261637E-4</v>
      </c>
      <c r="F8" s="278">
        <v>1.9439197526680709E-5</v>
      </c>
      <c r="G8" s="279">
        <v>5.8475129131843495E-5</v>
      </c>
    </row>
    <row r="9" spans="2:14" ht="15" thickBot="1"/>
    <row r="10" spans="2:14" ht="29">
      <c r="B10" s="16" t="s">
        <v>74</v>
      </c>
      <c r="C10" s="17"/>
      <c r="D10" s="17"/>
      <c r="E10" s="17"/>
      <c r="F10" s="17"/>
      <c r="G10" s="17"/>
      <c r="H10" s="23"/>
      <c r="I10" s="25" t="s">
        <v>75</v>
      </c>
      <c r="J10" s="43" t="s">
        <v>76</v>
      </c>
    </row>
    <row r="11" spans="2:14" ht="33.5" customHeight="1">
      <c r="B11" s="30"/>
      <c r="C11" s="31"/>
      <c r="D11" s="31"/>
      <c r="E11" s="31"/>
      <c r="F11" s="34" t="s">
        <v>89</v>
      </c>
      <c r="G11" s="34" t="s">
        <v>91</v>
      </c>
      <c r="H11" s="35" t="s">
        <v>90</v>
      </c>
      <c r="I11" s="32"/>
      <c r="J11" s="33"/>
    </row>
    <row r="12" spans="2:14">
      <c r="B12" s="20" t="s">
        <v>77</v>
      </c>
      <c r="C12" s="1"/>
      <c r="D12" s="1">
        <v>1.2999999999999999E-2</v>
      </c>
      <c r="E12" s="1"/>
      <c r="F12" s="2">
        <f>D12/D$17</f>
        <v>2.2336769759450172E-2</v>
      </c>
      <c r="G12" s="2">
        <f>F12*I12/1000</f>
        <v>1.3312714776632303E-2</v>
      </c>
      <c r="H12" s="36">
        <f>F12/G$17</f>
        <v>3.6982669352177422E-2</v>
      </c>
      <c r="I12" s="3">
        <v>596</v>
      </c>
      <c r="J12" s="21"/>
    </row>
    <row r="13" spans="2:14">
      <c r="B13" s="20" t="s">
        <v>78</v>
      </c>
      <c r="C13" s="1"/>
      <c r="D13" s="1">
        <v>2.8000000000000001E-2</v>
      </c>
      <c r="E13" s="1"/>
      <c r="F13" s="2">
        <f t="shared" ref="F13:F16" si="1">D13/D$17</f>
        <v>4.8109965635738834E-2</v>
      </c>
      <c r="G13" s="2">
        <f t="shared" ref="G13:G16" si="2">F13*I13/1000</f>
        <v>2.6556701030927835E-2</v>
      </c>
      <c r="H13" s="36">
        <f t="shared" ref="H13:H16" si="3">F13/G$17</f>
        <v>7.965498014315138E-2</v>
      </c>
      <c r="I13" s="3">
        <v>552</v>
      </c>
      <c r="J13" s="21"/>
    </row>
    <row r="14" spans="2:14">
      <c r="B14" s="20" t="s">
        <v>79</v>
      </c>
      <c r="C14" s="1"/>
      <c r="D14" s="1">
        <v>0.28899999999999998</v>
      </c>
      <c r="E14" s="1"/>
      <c r="F14" s="2">
        <f t="shared" si="1"/>
        <v>0.49656357388316152</v>
      </c>
      <c r="G14" s="2">
        <f t="shared" si="2"/>
        <v>0.3297182130584192</v>
      </c>
      <c r="H14" s="36">
        <f t="shared" si="3"/>
        <v>0.82215318790609815</v>
      </c>
      <c r="I14" s="3">
        <v>664</v>
      </c>
      <c r="J14" s="21"/>
    </row>
    <row r="15" spans="2:14">
      <c r="B15" s="20" t="s">
        <v>80</v>
      </c>
      <c r="C15" s="1"/>
      <c r="D15" s="1">
        <v>4.2000000000000003E-2</v>
      </c>
      <c r="E15" s="1"/>
      <c r="F15" s="2">
        <f t="shared" si="1"/>
        <v>7.2164948453608255E-2</v>
      </c>
      <c r="G15" s="2">
        <f t="shared" si="2"/>
        <v>4.0989690721649485E-2</v>
      </c>
      <c r="H15" s="36">
        <f t="shared" si="3"/>
        <v>0.11948247021472708</v>
      </c>
      <c r="I15" s="3">
        <v>568</v>
      </c>
      <c r="J15" s="21"/>
    </row>
    <row r="16" spans="2:14" ht="15" thickBot="1">
      <c r="B16" s="27" t="s">
        <v>81</v>
      </c>
      <c r="C16" s="28"/>
      <c r="D16" s="28">
        <v>0.21</v>
      </c>
      <c r="E16" s="28"/>
      <c r="F16" s="52">
        <f t="shared" si="1"/>
        <v>0.36082474226804123</v>
      </c>
      <c r="G16" s="52">
        <f t="shared" si="2"/>
        <v>0.1934020618556701</v>
      </c>
      <c r="H16" s="53">
        <f t="shared" si="3"/>
        <v>0.59741235107363533</v>
      </c>
      <c r="I16" s="54">
        <v>536</v>
      </c>
      <c r="J16" s="29"/>
    </row>
    <row r="17" spans="2:10" ht="15" thickBot="1">
      <c r="B17" s="44" t="s">
        <v>82</v>
      </c>
      <c r="C17" s="45"/>
      <c r="D17" s="46">
        <f>SUM(D12:D16)</f>
        <v>0.58199999999999996</v>
      </c>
      <c r="E17" s="45"/>
      <c r="F17" s="47">
        <f>SUM(F12:F16)</f>
        <v>1</v>
      </c>
      <c r="G17" s="48">
        <f>SUM(G12:G16)</f>
        <v>0.60397938144329899</v>
      </c>
      <c r="H17" s="49"/>
      <c r="I17" s="50"/>
      <c r="J17" s="51">
        <f>SUMPRODUCT(F12:F16,I12:I16)</f>
        <v>603.97938144329896</v>
      </c>
    </row>
    <row r="19" spans="2:10" ht="14.5" customHeight="1">
      <c r="B19" s="37"/>
      <c r="C19" s="38"/>
      <c r="D19" s="38"/>
      <c r="E19" s="395"/>
      <c r="F19" s="395"/>
      <c r="G19" s="395"/>
      <c r="H19" s="38"/>
    </row>
    <row r="20" spans="2:10">
      <c r="B20" s="37"/>
      <c r="C20" s="38"/>
      <c r="D20" s="38"/>
      <c r="E20" s="39"/>
      <c r="F20" s="39"/>
      <c r="G20" s="39"/>
      <c r="H20" s="38"/>
    </row>
    <row r="21" spans="2:10">
      <c r="B21" s="38"/>
      <c r="C21" s="38"/>
      <c r="D21" s="38"/>
      <c r="E21" s="40"/>
      <c r="F21" s="40"/>
      <c r="G21" s="40"/>
      <c r="H21" s="38"/>
    </row>
    <row r="22" spans="2:10">
      <c r="B22" s="38"/>
      <c r="C22" s="38"/>
      <c r="D22" s="38"/>
      <c r="E22" s="40"/>
      <c r="F22" s="40"/>
      <c r="G22" s="40"/>
      <c r="H22" s="38"/>
    </row>
    <row r="23" spans="2:10">
      <c r="B23" s="38"/>
      <c r="C23" s="38"/>
      <c r="D23" s="38"/>
      <c r="E23" s="40"/>
      <c r="F23" s="40"/>
      <c r="G23" s="40"/>
      <c r="H23" s="38"/>
    </row>
    <row r="24" spans="2:10">
      <c r="B24" s="38"/>
      <c r="C24" s="38"/>
      <c r="D24" s="38"/>
      <c r="E24" s="40"/>
      <c r="F24" s="40"/>
      <c r="G24" s="40"/>
      <c r="H24" s="38"/>
    </row>
    <row r="25" spans="2:10">
      <c r="B25" s="38"/>
      <c r="C25" s="38"/>
      <c r="D25" s="38"/>
      <c r="E25" s="40"/>
      <c r="F25" s="40"/>
      <c r="G25" s="40"/>
      <c r="H25" s="38"/>
    </row>
    <row r="26" spans="2:10">
      <c r="B26" s="41"/>
      <c r="C26" s="38"/>
      <c r="D26" s="38"/>
      <c r="E26" s="38"/>
      <c r="F26" s="38"/>
      <c r="G26" s="38"/>
      <c r="H26" s="38"/>
    </row>
    <row r="27" spans="2:10">
      <c r="B27" s="38"/>
      <c r="C27" s="38"/>
      <c r="D27" s="38"/>
      <c r="E27" s="38"/>
      <c r="F27" s="38"/>
      <c r="G27" s="38"/>
      <c r="H27" s="38"/>
    </row>
    <row r="28" spans="2:10">
      <c r="B28" s="37"/>
      <c r="C28" s="38"/>
      <c r="D28" s="38"/>
      <c r="E28" s="395"/>
      <c r="F28" s="395"/>
      <c r="G28" s="395"/>
      <c r="H28" s="38"/>
    </row>
    <row r="29" spans="2:10">
      <c r="B29" s="37"/>
      <c r="C29" s="38"/>
      <c r="D29" s="38"/>
      <c r="E29" s="39"/>
      <c r="F29" s="39"/>
      <c r="G29" s="39"/>
      <c r="H29" s="38"/>
    </row>
    <row r="30" spans="2:10">
      <c r="B30" s="38"/>
      <c r="C30" s="38"/>
      <c r="D30" s="38"/>
      <c r="E30" s="42"/>
      <c r="F30" s="42"/>
      <c r="G30" s="42"/>
      <c r="H30" s="38"/>
    </row>
    <row r="31" spans="2:10">
      <c r="B31" s="38"/>
      <c r="C31" s="38"/>
      <c r="D31" s="38"/>
      <c r="E31" s="42"/>
      <c r="F31" s="42"/>
      <c r="G31" s="42"/>
      <c r="H31" s="38"/>
    </row>
    <row r="32" spans="2:10">
      <c r="B32" s="38"/>
      <c r="C32" s="38"/>
      <c r="D32" s="38"/>
      <c r="E32" s="42"/>
      <c r="F32" s="42"/>
      <c r="G32" s="42"/>
      <c r="H32" s="38"/>
    </row>
    <row r="33" spans="2:8">
      <c r="B33" s="38"/>
      <c r="C33" s="38"/>
      <c r="D33" s="38"/>
      <c r="E33" s="42"/>
      <c r="F33" s="42"/>
      <c r="G33" s="42"/>
      <c r="H33" s="38"/>
    </row>
    <row r="34" spans="2:8">
      <c r="B34" s="38"/>
      <c r="C34" s="38"/>
      <c r="D34" s="38"/>
      <c r="E34" s="42"/>
      <c r="F34" s="42"/>
      <c r="G34" s="42"/>
      <c r="H34" s="38"/>
    </row>
    <row r="35" spans="2:8">
      <c r="B35" s="41"/>
      <c r="C35" s="38"/>
      <c r="D35" s="38"/>
      <c r="E35" s="38"/>
      <c r="F35" s="38"/>
      <c r="G35" s="38"/>
      <c r="H35" s="38"/>
    </row>
  </sheetData>
  <mergeCells count="2">
    <mergeCell ref="E19:G19"/>
    <mergeCell ref="E28:G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zoomScale="85" zoomScaleNormal="85" workbookViewId="0">
      <selection activeCell="C16" sqref="C16"/>
    </sheetView>
  </sheetViews>
  <sheetFormatPr defaultRowHeight="14.5"/>
  <cols>
    <col min="1" max="1" width="10.453125" customWidth="1"/>
    <col min="2" max="2" width="12.26953125" customWidth="1"/>
    <col min="3" max="3" width="10.08984375" customWidth="1"/>
    <col min="4" max="4" width="10" bestFit="1" customWidth="1"/>
    <col min="5" max="5" width="10.453125" customWidth="1"/>
    <col min="6" max="6" width="15" customWidth="1"/>
    <col min="7" max="7" width="10.81640625" customWidth="1"/>
    <col min="8" max="8" width="14.36328125" customWidth="1"/>
    <col min="9" max="9" width="17.08984375" customWidth="1"/>
  </cols>
  <sheetData>
    <row r="1" spans="1:14">
      <c r="K1" s="38"/>
      <c r="L1" s="38"/>
      <c r="M1" s="38"/>
      <c r="N1" s="38"/>
    </row>
    <row r="2" spans="1:14">
      <c r="D2" s="6"/>
      <c r="E2" s="6"/>
      <c r="F2" s="6"/>
      <c r="K2" s="38"/>
      <c r="L2" s="38"/>
      <c r="M2" s="38"/>
      <c r="N2" s="38"/>
    </row>
    <row r="3" spans="1:14" ht="48" customHeight="1">
      <c r="A3" s="241" t="s">
        <v>95</v>
      </c>
      <c r="B3" s="242" t="s">
        <v>96</v>
      </c>
      <c r="C3" s="242" t="s">
        <v>97</v>
      </c>
      <c r="D3" s="242" t="s">
        <v>98</v>
      </c>
      <c r="E3" s="242" t="s">
        <v>99</v>
      </c>
      <c r="F3" s="242" t="s">
        <v>100</v>
      </c>
      <c r="G3" s="243" t="s">
        <v>101</v>
      </c>
      <c r="H3" s="372" t="s">
        <v>102</v>
      </c>
      <c r="I3" s="269"/>
      <c r="J3" s="6"/>
      <c r="K3" s="38"/>
      <c r="L3" s="38"/>
      <c r="M3" s="38"/>
      <c r="N3" s="38"/>
    </row>
    <row r="4" spans="1:14" ht="14.5" customHeight="1">
      <c r="A4" s="396" t="s">
        <v>103</v>
      </c>
      <c r="B4" s="244" t="s">
        <v>104</v>
      </c>
      <c r="C4" s="245">
        <f>2695903*(1-0.554)</f>
        <v>1202372.7379999999</v>
      </c>
      <c r="D4" s="246">
        <v>331.2</v>
      </c>
      <c r="E4" s="247">
        <f>C4/SUM($C$4:$C$7)</f>
        <v>0.22299999999999998</v>
      </c>
      <c r="F4" s="248">
        <f>(D4-18)*E4+(D5-18)*E5+(D6-19)*E6+(D7-18)*E7</f>
        <v>308.7</v>
      </c>
      <c r="G4" s="249">
        <f>F4/1000</f>
        <v>0.30869999999999997</v>
      </c>
      <c r="H4" s="250">
        <f>E4/$G$4</f>
        <v>0.7223841917719469</v>
      </c>
      <c r="I4" s="398" t="s">
        <v>105</v>
      </c>
      <c r="K4" s="38"/>
      <c r="L4" s="38"/>
      <c r="M4" s="38"/>
      <c r="N4" s="38"/>
    </row>
    <row r="5" spans="1:14">
      <c r="A5" s="397"/>
      <c r="B5" s="251" t="s">
        <v>106</v>
      </c>
      <c r="C5" s="252">
        <f>C4</f>
        <v>1202372.7379999999</v>
      </c>
      <c r="D5" s="253">
        <v>322.2</v>
      </c>
      <c r="E5" s="254">
        <f>C5/SUM($C$4:$C$7)</f>
        <v>0.22299999999999998</v>
      </c>
      <c r="F5" s="255"/>
      <c r="G5" s="256"/>
      <c r="H5" s="250">
        <f>E5/$G$4</f>
        <v>0.7223841917719469</v>
      </c>
      <c r="I5" s="398"/>
      <c r="K5" s="38"/>
      <c r="L5" s="38"/>
      <c r="M5" s="38"/>
      <c r="N5" s="38"/>
    </row>
    <row r="6" spans="1:14">
      <c r="A6" s="397"/>
      <c r="B6" s="251" t="s">
        <v>107</v>
      </c>
      <c r="C6" s="252">
        <f>2695903*0.554</f>
        <v>1493530.2620000001</v>
      </c>
      <c r="D6" s="253">
        <v>347.2</v>
      </c>
      <c r="E6" s="254">
        <f>C6/SUM($C$4:$C$7)</f>
        <v>0.27700000000000002</v>
      </c>
      <c r="F6" s="255"/>
      <c r="G6" s="256"/>
      <c r="H6" s="250">
        <f>E6/$G$4</f>
        <v>0.89731130547457094</v>
      </c>
      <c r="I6" s="398"/>
      <c r="K6" s="38"/>
      <c r="L6" s="38"/>
      <c r="M6" s="38"/>
      <c r="N6" s="38"/>
    </row>
    <row r="7" spans="1:14" ht="14.5" customHeight="1">
      <c r="A7" s="397"/>
      <c r="B7" s="251" t="s">
        <v>108</v>
      </c>
      <c r="C7" s="252">
        <f>C6</f>
        <v>1493530.2620000001</v>
      </c>
      <c r="D7" s="253">
        <v>307.2</v>
      </c>
      <c r="E7" s="257">
        <f>C7/SUM($C$4:$C$7)</f>
        <v>0.27700000000000002</v>
      </c>
      <c r="F7" s="258"/>
      <c r="G7" s="256"/>
      <c r="H7" s="250">
        <f>E7/$G$4</f>
        <v>0.89731130547457094</v>
      </c>
      <c r="I7" s="398"/>
      <c r="K7" s="38"/>
      <c r="L7" s="38"/>
      <c r="M7" s="38"/>
      <c r="N7" s="38"/>
    </row>
    <row r="8" spans="1:14">
      <c r="A8" s="397"/>
      <c r="B8" s="259" t="s">
        <v>109</v>
      </c>
      <c r="C8" s="252"/>
      <c r="D8" s="260"/>
      <c r="E8" s="257">
        <v>1</v>
      </c>
      <c r="F8" s="258"/>
      <c r="G8" s="256"/>
      <c r="H8" s="261">
        <f>E8/$G$4</f>
        <v>3.2393909944930357</v>
      </c>
      <c r="I8" s="399"/>
      <c r="K8" s="38"/>
      <c r="L8" s="38"/>
      <c r="M8" s="38"/>
      <c r="N8" s="38"/>
    </row>
    <row r="9" spans="1:14">
      <c r="A9" s="400" t="s">
        <v>110</v>
      </c>
      <c r="B9" s="160" t="s">
        <v>111</v>
      </c>
      <c r="C9" s="262"/>
      <c r="D9" s="263">
        <v>347.2</v>
      </c>
      <c r="E9" s="264">
        <f>E4</f>
        <v>0.22299999999999998</v>
      </c>
      <c r="F9" s="265">
        <f>(D9-18)*E9+(D10-18)*E10+(D11-19)*E11+(D12-18)*E12</f>
        <v>321.57799999999997</v>
      </c>
      <c r="G9" s="261">
        <f>F9/1000</f>
        <v>0.32157799999999997</v>
      </c>
      <c r="H9" s="266">
        <f>E9/$G$9</f>
        <v>0.69345539806827583</v>
      </c>
      <c r="I9" s="398" t="s">
        <v>112</v>
      </c>
      <c r="K9" s="38"/>
      <c r="L9" s="38"/>
      <c r="M9" s="38"/>
      <c r="N9" s="38"/>
    </row>
    <row r="10" spans="1:14">
      <c r="A10" s="401"/>
      <c r="B10" s="160" t="s">
        <v>113</v>
      </c>
      <c r="C10" s="262"/>
      <c r="D10" s="263">
        <v>324.2</v>
      </c>
      <c r="E10" s="264">
        <f>E5</f>
        <v>0.22299999999999998</v>
      </c>
      <c r="F10" s="267"/>
      <c r="G10" s="268"/>
      <c r="H10" s="266">
        <f>E10/$G$9</f>
        <v>0.69345539806827583</v>
      </c>
      <c r="I10" s="398"/>
      <c r="K10" s="38"/>
      <c r="L10" s="38"/>
      <c r="M10" s="38"/>
      <c r="N10" s="38"/>
    </row>
    <row r="11" spans="1:14">
      <c r="A11" s="401"/>
      <c r="B11" s="160" t="s">
        <v>114</v>
      </c>
      <c r="C11" s="262"/>
      <c r="D11" s="263">
        <v>363.2</v>
      </c>
      <c r="E11" s="264">
        <f>E6</f>
        <v>0.27700000000000002</v>
      </c>
      <c r="F11" s="267"/>
      <c r="G11" s="268"/>
      <c r="H11" s="266">
        <f>E11/$G$9</f>
        <v>0.8613773330265132</v>
      </c>
      <c r="I11" s="398"/>
      <c r="J11" s="6"/>
      <c r="K11" s="38"/>
      <c r="L11" s="38"/>
      <c r="M11" s="38"/>
      <c r="N11" s="38"/>
    </row>
    <row r="12" spans="1:14">
      <c r="A12" s="401"/>
      <c r="B12" s="160" t="s">
        <v>115</v>
      </c>
      <c r="C12" s="262"/>
      <c r="D12" s="263">
        <v>323.2</v>
      </c>
      <c r="E12" s="264">
        <f>E7</f>
        <v>0.27700000000000002</v>
      </c>
      <c r="F12" s="267"/>
      <c r="G12" s="268"/>
      <c r="H12" s="266">
        <f>E12/$G$9</f>
        <v>0.8613773330265132</v>
      </c>
      <c r="I12" s="398"/>
      <c r="K12" s="38"/>
      <c r="L12" s="38"/>
      <c r="M12" s="38"/>
      <c r="N12" s="38"/>
    </row>
    <row r="13" spans="1:14">
      <c r="A13" s="401"/>
      <c r="B13" s="269" t="s">
        <v>109</v>
      </c>
      <c r="C13" s="262"/>
      <c r="D13" s="262"/>
      <c r="E13" s="264">
        <v>1</v>
      </c>
      <c r="F13" s="270"/>
      <c r="G13" s="271"/>
      <c r="H13" s="266">
        <f>E13/$G$9</f>
        <v>3.1096654621895778</v>
      </c>
      <c r="I13" s="398"/>
      <c r="K13" s="38"/>
      <c r="L13" s="38"/>
      <c r="M13" s="38"/>
      <c r="N13" s="38"/>
    </row>
    <row r="14" spans="1:14" ht="15" thickBot="1">
      <c r="A14" s="41"/>
      <c r="B14" s="69"/>
      <c r="C14" s="69"/>
      <c r="D14" s="41"/>
      <c r="E14" s="41"/>
      <c r="F14" s="41"/>
      <c r="G14" s="39"/>
      <c r="H14" s="41"/>
      <c r="I14" s="41"/>
      <c r="K14" s="38"/>
      <c r="L14" s="38"/>
      <c r="M14" s="38"/>
      <c r="N14" s="38"/>
    </row>
    <row r="15" spans="1:14">
      <c r="A15" s="58"/>
      <c r="B15" s="59"/>
      <c r="C15" s="60">
        <v>7942</v>
      </c>
      <c r="D15" s="60" t="s">
        <v>302</v>
      </c>
      <c r="E15" s="153" t="s">
        <v>214</v>
      </c>
      <c r="F15" s="39"/>
      <c r="G15" s="39"/>
      <c r="H15" s="39"/>
      <c r="I15" s="39"/>
      <c r="J15" s="6"/>
      <c r="K15" s="38"/>
      <c r="L15" s="38"/>
      <c r="M15" s="38"/>
      <c r="N15" s="38"/>
    </row>
    <row r="16" spans="1:14">
      <c r="A16" s="61" t="s">
        <v>116</v>
      </c>
      <c r="B16" s="370" t="s">
        <v>72</v>
      </c>
      <c r="C16" s="42">
        <v>6.2083514856071248E-3</v>
      </c>
      <c r="D16" s="42">
        <v>5.6762523130236137E-3</v>
      </c>
      <c r="E16" s="371">
        <v>6.5133387144256701E-3</v>
      </c>
      <c r="F16" s="70"/>
      <c r="G16" s="41"/>
      <c r="H16" s="41"/>
      <c r="I16" s="41"/>
      <c r="K16" s="38"/>
      <c r="L16" s="38"/>
      <c r="M16" s="38"/>
      <c r="N16" s="38"/>
    </row>
    <row r="17" spans="1:14" ht="15" thickBot="1">
      <c r="A17" s="62"/>
      <c r="B17" s="63" t="s">
        <v>297</v>
      </c>
      <c r="C17" s="368">
        <v>6.7414541354307209E-4</v>
      </c>
      <c r="D17" s="368">
        <v>6.6899344340930414E-5</v>
      </c>
      <c r="E17" s="369">
        <v>2.0208766932772865E-4</v>
      </c>
      <c r="F17" s="41"/>
      <c r="G17" s="41"/>
      <c r="H17" s="41"/>
      <c r="I17" s="41"/>
      <c r="K17" s="38"/>
      <c r="L17" s="38"/>
      <c r="M17" s="38"/>
      <c r="N17" s="38"/>
    </row>
    <row r="18" spans="1:14" ht="15" thickBot="1">
      <c r="F18" s="41"/>
      <c r="G18" s="41"/>
      <c r="H18" s="41"/>
      <c r="I18" s="41"/>
      <c r="K18" s="38"/>
      <c r="L18" s="38"/>
      <c r="M18" s="38"/>
      <c r="N18" s="38"/>
    </row>
    <row r="19" spans="1:14">
      <c r="A19" s="58"/>
      <c r="B19" s="59"/>
      <c r="C19" s="60">
        <v>7942</v>
      </c>
      <c r="D19" s="60" t="s">
        <v>302</v>
      </c>
      <c r="E19" s="153" t="s">
        <v>214</v>
      </c>
      <c r="F19" s="41"/>
      <c r="G19" s="39"/>
      <c r="H19" s="39"/>
      <c r="I19" s="39"/>
      <c r="K19" s="38"/>
      <c r="L19" s="38"/>
      <c r="M19" s="38"/>
      <c r="N19" s="38"/>
    </row>
    <row r="20" spans="1:14">
      <c r="A20" s="61" t="s">
        <v>117</v>
      </c>
      <c r="B20" s="370" t="s">
        <v>72</v>
      </c>
      <c r="C20" s="42">
        <v>2.8700996057149791E-2</v>
      </c>
      <c r="D20" s="42">
        <v>3.0296131930522795E-2</v>
      </c>
      <c r="E20" s="371">
        <v>2.8579936901639343E-2</v>
      </c>
      <c r="F20" s="70"/>
      <c r="G20" s="41"/>
      <c r="H20" s="41"/>
      <c r="I20" s="41"/>
      <c r="K20" s="38"/>
      <c r="L20" s="38"/>
      <c r="M20" s="38"/>
      <c r="N20" s="38"/>
    </row>
    <row r="21" spans="1:14" ht="15" thickBot="1">
      <c r="A21" s="62"/>
      <c r="B21" s="63" t="s">
        <v>297</v>
      </c>
      <c r="C21" s="368">
        <v>3.2922078701813124E-4</v>
      </c>
      <c r="D21" s="368">
        <v>6.517014244825385E-4</v>
      </c>
      <c r="E21" s="369">
        <v>8.2405531082995961E-4</v>
      </c>
      <c r="F21" s="41"/>
      <c r="G21" s="41"/>
      <c r="H21" s="41"/>
      <c r="I21" s="41"/>
    </row>
  </sheetData>
  <mergeCells count="4">
    <mergeCell ref="A4:A8"/>
    <mergeCell ref="I4:I8"/>
    <mergeCell ref="A9:A13"/>
    <mergeCell ref="I9:I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1"/>
  <sheetViews>
    <sheetView workbookViewId="0">
      <selection activeCell="C8" sqref="C8"/>
    </sheetView>
  </sheetViews>
  <sheetFormatPr defaultRowHeight="14.5"/>
  <cols>
    <col min="1" max="1" width="11.81640625" customWidth="1"/>
    <col min="2" max="2" width="15.7265625" customWidth="1"/>
    <col min="4" max="4" width="12.81640625" customWidth="1"/>
    <col min="5" max="5" width="11.453125" customWidth="1"/>
    <col min="7" max="7" width="16.26953125" customWidth="1"/>
    <col min="8" max="8" width="17" customWidth="1"/>
  </cols>
  <sheetData>
    <row r="3" spans="1:8" ht="43.5" customHeight="1">
      <c r="A3" s="71"/>
      <c r="B3" s="72" t="s">
        <v>118</v>
      </c>
      <c r="C3" s="72" t="s">
        <v>119</v>
      </c>
      <c r="D3" s="73" t="s">
        <v>120</v>
      </c>
      <c r="E3" s="73" t="s">
        <v>121</v>
      </c>
      <c r="F3" s="73" t="s">
        <v>122</v>
      </c>
      <c r="G3" s="73" t="s">
        <v>100</v>
      </c>
      <c r="H3" s="73" t="s">
        <v>123</v>
      </c>
    </row>
    <row r="4" spans="1:8">
      <c r="A4" s="402" t="s">
        <v>124</v>
      </c>
      <c r="B4" s="74" t="s">
        <v>125</v>
      </c>
      <c r="C4" s="1" t="s">
        <v>126</v>
      </c>
      <c r="D4" s="75">
        <v>0.66342510200000004</v>
      </c>
      <c r="E4" s="76">
        <v>4.4666999999999998E-5</v>
      </c>
      <c r="F4" s="77">
        <f>D4*E4</f>
        <v>2.9633209031034E-5</v>
      </c>
      <c r="G4" s="56">
        <f>SUM(F4:F29)</f>
        <v>1.0457726720835453E-2</v>
      </c>
      <c r="H4" s="56">
        <f>E4/$G$4</f>
        <v>4.2711959484471604E-3</v>
      </c>
    </row>
    <row r="5" spans="1:8">
      <c r="A5" s="403"/>
      <c r="B5" s="74" t="s">
        <v>127</v>
      </c>
      <c r="C5" s="1" t="s">
        <v>128</v>
      </c>
      <c r="D5" s="75">
        <v>5.5844999999999999E-2</v>
      </c>
      <c r="E5" s="76">
        <v>6.816E-3</v>
      </c>
      <c r="F5" s="77">
        <f t="shared" ref="F5:F18" si="0">D5*E5</f>
        <v>3.8063951999999998E-4</v>
      </c>
      <c r="G5" s="78"/>
      <c r="H5" s="56">
        <f t="shared" ref="H5:H29" si="1">E5/$G$4</f>
        <v>0.65176688796238502</v>
      </c>
    </row>
    <row r="6" spans="1:8">
      <c r="A6" s="403"/>
      <c r="B6" s="74" t="s">
        <v>129</v>
      </c>
      <c r="C6" s="1" t="s">
        <v>130</v>
      </c>
      <c r="D6" s="75">
        <v>0.76350236299999996</v>
      </c>
      <c r="E6" s="76">
        <v>1.6750000000000001E-4</v>
      </c>
      <c r="F6" s="77">
        <f t="shared" si="0"/>
        <v>1.2788664580250001E-4</v>
      </c>
      <c r="G6" s="78"/>
      <c r="H6" s="56">
        <f t="shared" si="1"/>
        <v>1.6016865277831499E-2</v>
      </c>
    </row>
    <row r="7" spans="1:8">
      <c r="A7" s="403"/>
      <c r="B7" s="74" t="s">
        <v>131</v>
      </c>
      <c r="C7" s="1" t="s">
        <v>132</v>
      </c>
      <c r="D7" s="75">
        <v>0.14826967999999999</v>
      </c>
      <c r="E7" s="76">
        <v>7.6999999999999996E-4</v>
      </c>
      <c r="F7" s="77">
        <f t="shared" si="0"/>
        <v>1.1416765359999999E-4</v>
      </c>
      <c r="G7" s="78"/>
      <c r="H7" s="56">
        <f t="shared" si="1"/>
        <v>7.3629768739882098E-2</v>
      </c>
    </row>
    <row r="8" spans="1:8">
      <c r="A8" s="403"/>
      <c r="B8" s="74" t="s">
        <v>133</v>
      </c>
      <c r="C8" s="1" t="s">
        <v>134</v>
      </c>
      <c r="D8" s="75">
        <v>0.45743992</v>
      </c>
      <c r="E8" s="76">
        <v>2.23E-4</v>
      </c>
      <c r="F8" s="77">
        <f t="shared" si="0"/>
        <v>1.0200910216E-4</v>
      </c>
      <c r="G8" s="78"/>
      <c r="H8" s="56">
        <f t="shared" si="1"/>
        <v>2.1323946011680143E-2</v>
      </c>
    </row>
    <row r="9" spans="1:8">
      <c r="A9" s="403"/>
      <c r="B9" s="74" t="s">
        <v>135</v>
      </c>
      <c r="C9" s="1" t="s">
        <v>136</v>
      </c>
      <c r="D9" s="75">
        <v>5.5844999999999999E-2</v>
      </c>
      <c r="E9" s="76">
        <v>6.816E-3</v>
      </c>
      <c r="F9" s="77">
        <f t="shared" si="0"/>
        <v>3.8063951999999998E-4</v>
      </c>
      <c r="G9" s="78"/>
      <c r="H9" s="56">
        <f t="shared" si="1"/>
        <v>0.65176688796238502</v>
      </c>
    </row>
    <row r="10" spans="1:8">
      <c r="A10" s="403"/>
      <c r="B10" s="74" t="s">
        <v>137</v>
      </c>
      <c r="C10" s="1" t="s">
        <v>138</v>
      </c>
      <c r="D10" s="75">
        <v>2.2989799999999998E-2</v>
      </c>
      <c r="E10" s="76">
        <v>5.592763766301194E-7</v>
      </c>
      <c r="F10" s="77">
        <f t="shared" si="0"/>
        <v>1.2857652043451118E-8</v>
      </c>
      <c r="G10" s="78"/>
      <c r="H10" s="56">
        <f t="shared" si="1"/>
        <v>5.3479727627214151E-5</v>
      </c>
    </row>
    <row r="11" spans="1:8">
      <c r="A11" s="403"/>
      <c r="B11" s="74" t="s">
        <v>139</v>
      </c>
      <c r="C11" s="1" t="s">
        <v>140</v>
      </c>
      <c r="D11" s="75">
        <v>3.9098300000000002E-2</v>
      </c>
      <c r="E11" s="76">
        <v>1.3282813944965336E-5</v>
      </c>
      <c r="F11" s="77">
        <f t="shared" si="0"/>
        <v>5.193354444644382E-7</v>
      </c>
      <c r="G11" s="78"/>
      <c r="H11" s="56">
        <f t="shared" si="1"/>
        <v>1.2701435311463362E-3</v>
      </c>
    </row>
    <row r="12" spans="1:8">
      <c r="A12" s="403"/>
      <c r="B12" s="74" t="s">
        <v>141</v>
      </c>
      <c r="C12" s="1" t="s">
        <v>142</v>
      </c>
      <c r="D12" s="75">
        <v>0.85082126000000002</v>
      </c>
      <c r="E12" s="76">
        <v>2.23E-4</v>
      </c>
      <c r="F12" s="77">
        <f t="shared" si="0"/>
        <v>1.8973314098000001E-4</v>
      </c>
      <c r="G12" s="78"/>
      <c r="H12" s="56">
        <f t="shared" si="1"/>
        <v>2.1323946011680143E-2</v>
      </c>
    </row>
    <row r="13" spans="1:8">
      <c r="A13" s="403"/>
      <c r="B13" s="74" t="s">
        <v>143</v>
      </c>
      <c r="C13" s="1" t="s">
        <v>144</v>
      </c>
      <c r="D13" s="75">
        <v>0.662417162</v>
      </c>
      <c r="E13" s="76">
        <v>1.7867E-3</v>
      </c>
      <c r="F13" s="77">
        <f t="shared" si="0"/>
        <v>1.1835407433454001E-3</v>
      </c>
      <c r="G13" s="78"/>
      <c r="H13" s="56">
        <f t="shared" si="1"/>
        <v>0.17084975039941216</v>
      </c>
    </row>
    <row r="14" spans="1:8">
      <c r="A14" s="403"/>
      <c r="B14" s="74" t="s">
        <v>145</v>
      </c>
      <c r="C14" s="1" t="s">
        <v>146</v>
      </c>
      <c r="D14" s="75">
        <v>0.45542403999999997</v>
      </c>
      <c r="E14" s="76">
        <v>2.2330000000000001E-4</v>
      </c>
      <c r="F14" s="77">
        <f t="shared" si="0"/>
        <v>1.0169618813199999E-4</v>
      </c>
      <c r="G14" s="78"/>
      <c r="H14" s="56">
        <f t="shared" si="1"/>
        <v>2.135263293456581E-2</v>
      </c>
    </row>
    <row r="15" spans="1:8">
      <c r="A15" s="403"/>
      <c r="B15" s="74" t="s">
        <v>147</v>
      </c>
      <c r="C15" s="1" t="s">
        <v>148</v>
      </c>
      <c r="D15" s="75">
        <v>9.0167360000000002E-2</v>
      </c>
      <c r="E15" s="76">
        <v>3.6000000000000002E-4</v>
      </c>
      <c r="F15" s="77">
        <f t="shared" si="0"/>
        <v>3.2460249600000002E-5</v>
      </c>
      <c r="G15" s="78"/>
      <c r="H15" s="56">
        <f t="shared" si="1"/>
        <v>3.4424307462802027E-2</v>
      </c>
    </row>
    <row r="16" spans="1:8">
      <c r="A16" s="403"/>
      <c r="B16" s="74" t="s">
        <v>149</v>
      </c>
      <c r="C16" s="1" t="s">
        <v>150</v>
      </c>
      <c r="D16" s="75">
        <v>1.5795817609999998</v>
      </c>
      <c r="E16" s="76">
        <v>4.46E-5</v>
      </c>
      <c r="F16" s="77">
        <f t="shared" si="0"/>
        <v>7.0449346540599997E-5</v>
      </c>
      <c r="G16" s="78"/>
      <c r="H16" s="56">
        <f t="shared" si="1"/>
        <v>4.2647892023360287E-3</v>
      </c>
    </row>
    <row r="17" spans="1:8">
      <c r="A17" s="403"/>
      <c r="B17" s="74" t="s">
        <v>151</v>
      </c>
      <c r="C17" s="1" t="s">
        <v>152</v>
      </c>
      <c r="D17" s="75">
        <v>0.78353386199999997</v>
      </c>
      <c r="E17" s="76">
        <v>2.2330000000000001E-4</v>
      </c>
      <c r="F17" s="77">
        <f t="shared" si="0"/>
        <v>1.7496311138459999E-4</v>
      </c>
      <c r="G17" s="78"/>
      <c r="H17" s="56">
        <f t="shared" si="1"/>
        <v>2.135263293456581E-2</v>
      </c>
    </row>
    <row r="18" spans="1:8">
      <c r="A18" s="403"/>
      <c r="B18" s="74" t="s">
        <v>153</v>
      </c>
      <c r="C18" s="1" t="s">
        <v>154</v>
      </c>
      <c r="D18" s="75">
        <v>0.74138912300000004</v>
      </c>
      <c r="E18" s="76">
        <v>3.3500000000000001E-4</v>
      </c>
      <c r="F18" s="77">
        <f t="shared" si="0"/>
        <v>2.4836535620500002E-4</v>
      </c>
      <c r="G18" s="78"/>
      <c r="H18" s="56">
        <f t="shared" si="1"/>
        <v>3.2033730555662998E-2</v>
      </c>
    </row>
    <row r="19" spans="1:8">
      <c r="A19" s="403"/>
      <c r="B19" s="74" t="s">
        <v>155</v>
      </c>
      <c r="C19" s="1" t="s">
        <v>156</v>
      </c>
      <c r="D19" s="75">
        <v>0.44341333999999999</v>
      </c>
      <c r="E19" s="76">
        <v>2.2332999999999999E-4</v>
      </c>
      <c r="F19" s="77">
        <f>D19*E19</f>
        <v>9.9027501222199988E-5</v>
      </c>
      <c r="G19" s="78"/>
      <c r="H19" s="56">
        <f t="shared" si="1"/>
        <v>2.1355501626854376E-2</v>
      </c>
    </row>
    <row r="20" spans="1:8">
      <c r="A20" s="403"/>
      <c r="B20" s="74" t="s">
        <v>157</v>
      </c>
      <c r="C20" s="1" t="s">
        <v>158</v>
      </c>
      <c r="D20" s="79">
        <v>0.83683774000000011</v>
      </c>
      <c r="E20" s="76">
        <v>2.23E-4</v>
      </c>
      <c r="F20" s="77">
        <f t="shared" ref="F20:F27" si="2">D20*E20</f>
        <v>1.8661481602000001E-4</v>
      </c>
      <c r="G20" s="80"/>
      <c r="H20" s="56">
        <f t="shared" si="1"/>
        <v>2.1323946011680143E-2</v>
      </c>
    </row>
    <row r="21" spans="1:8">
      <c r="A21" s="403"/>
      <c r="B21" s="74" t="s">
        <v>159</v>
      </c>
      <c r="C21" s="1" t="s">
        <v>160</v>
      </c>
      <c r="D21" s="81">
        <v>0.740381183</v>
      </c>
      <c r="E21" s="76">
        <v>1.1167000000000001E-4</v>
      </c>
      <c r="F21" s="77">
        <f t="shared" si="2"/>
        <v>8.2678366705610007E-5</v>
      </c>
      <c r="G21" s="82"/>
      <c r="H21" s="56">
        <f t="shared" si="1"/>
        <v>1.0678228928808617E-2</v>
      </c>
    </row>
    <row r="22" spans="1:8">
      <c r="A22" s="403"/>
      <c r="B22" s="74" t="s">
        <v>161</v>
      </c>
      <c r="C22" s="1" t="s">
        <v>162</v>
      </c>
      <c r="D22" s="83">
        <v>0.42229050000000001</v>
      </c>
      <c r="E22" s="76">
        <v>2.23E-4</v>
      </c>
      <c r="F22" s="77">
        <f t="shared" si="2"/>
        <v>9.4170781500000009E-5</v>
      </c>
      <c r="G22" s="82"/>
      <c r="H22" s="56">
        <f t="shared" si="1"/>
        <v>2.1323946011680143E-2</v>
      </c>
    </row>
    <row r="23" spans="1:8">
      <c r="A23" s="403"/>
      <c r="B23" s="74" t="s">
        <v>163</v>
      </c>
      <c r="C23" s="1" t="s">
        <v>164</v>
      </c>
      <c r="D23" s="81">
        <v>0.45069574000000001</v>
      </c>
      <c r="E23" s="76">
        <v>1.7699999999999999E-4</v>
      </c>
      <c r="F23" s="77">
        <f t="shared" si="2"/>
        <v>7.9773145980000003E-5</v>
      </c>
      <c r="G23" s="82"/>
      <c r="H23" s="56">
        <f t="shared" si="1"/>
        <v>1.6925284502544328E-2</v>
      </c>
    </row>
    <row r="24" spans="1:8">
      <c r="A24" s="403"/>
      <c r="B24" s="74" t="s">
        <v>165</v>
      </c>
      <c r="C24" s="1" t="s">
        <v>166</v>
      </c>
      <c r="D24" s="81">
        <v>0.24512598099999999</v>
      </c>
      <c r="E24" s="76">
        <v>2.3000000000000001E-4</v>
      </c>
      <c r="F24" s="77">
        <f t="shared" si="2"/>
        <v>5.6378975630000001E-5</v>
      </c>
      <c r="G24" s="82"/>
      <c r="H24" s="56">
        <f t="shared" si="1"/>
        <v>2.1993307545679072E-2</v>
      </c>
    </row>
    <row r="25" spans="1:8">
      <c r="A25" s="403"/>
      <c r="B25" s="74" t="s">
        <v>167</v>
      </c>
      <c r="C25" s="1" t="s">
        <v>168</v>
      </c>
      <c r="D25" s="81">
        <f>924.238482/1000</f>
        <v>0.92423848200000003</v>
      </c>
      <c r="E25" s="76">
        <v>1E-4</v>
      </c>
      <c r="F25" s="77">
        <f t="shared" si="2"/>
        <v>9.2423848200000002E-5</v>
      </c>
      <c r="G25" s="82"/>
      <c r="H25" s="56">
        <f t="shared" si="1"/>
        <v>9.5623076285561177E-3</v>
      </c>
    </row>
    <row r="26" spans="1:8">
      <c r="A26" s="403"/>
      <c r="B26" s="84" t="s">
        <v>169</v>
      </c>
      <c r="C26" s="1" t="s">
        <v>170</v>
      </c>
      <c r="D26" s="81">
        <f>403.3877/1000</f>
        <v>0.40338770000000002</v>
      </c>
      <c r="E26" s="76">
        <v>1.5699999999999999E-2</v>
      </c>
      <c r="F26" s="77">
        <f t="shared" si="2"/>
        <v>6.3331868900000001E-3</v>
      </c>
      <c r="G26" s="82"/>
      <c r="H26" s="56">
        <f t="shared" si="1"/>
        <v>1.5012822976833102</v>
      </c>
    </row>
    <row r="27" spans="1:8">
      <c r="A27" s="403"/>
      <c r="B27" s="74" t="s">
        <v>171</v>
      </c>
      <c r="C27" s="1" t="s">
        <v>172</v>
      </c>
      <c r="D27" s="81">
        <v>0.74920109999999995</v>
      </c>
      <c r="E27" s="76">
        <v>1.5699999999999999E-4</v>
      </c>
      <c r="F27" s="77">
        <f t="shared" si="2"/>
        <v>1.1762457269999998E-4</v>
      </c>
      <c r="G27" s="82"/>
      <c r="H27" s="56">
        <f t="shared" si="1"/>
        <v>1.5012822976833104E-2</v>
      </c>
    </row>
    <row r="28" spans="1:8">
      <c r="A28" s="403"/>
      <c r="B28" s="84" t="s">
        <v>173</v>
      </c>
      <c r="C28" s="84" t="s">
        <v>174</v>
      </c>
      <c r="D28" s="81">
        <v>0.2063256</v>
      </c>
      <c r="E28" s="76">
        <v>2.3000000000000001E-4</v>
      </c>
      <c r="F28" s="77">
        <f>D28*E28</f>
        <v>4.7454887999999999E-5</v>
      </c>
      <c r="G28" s="82"/>
      <c r="H28" s="56">
        <f t="shared" si="1"/>
        <v>2.1993307545679072E-2</v>
      </c>
    </row>
    <row r="29" spans="1:8">
      <c r="A29" s="404"/>
      <c r="B29" s="74" t="s">
        <v>175</v>
      </c>
      <c r="C29" s="12" t="s">
        <v>176</v>
      </c>
      <c r="D29" s="85">
        <v>0.57250849999999998</v>
      </c>
      <c r="E29" s="76">
        <v>2.3000000000000001E-4</v>
      </c>
      <c r="F29" s="77">
        <f>D29*E29</f>
        <v>1.3167695500000001E-4</v>
      </c>
      <c r="G29" s="31"/>
      <c r="H29" s="56">
        <f t="shared" si="1"/>
        <v>2.1993307545679072E-2</v>
      </c>
    </row>
    <row r="31" spans="1:8">
      <c r="A31" t="s">
        <v>177</v>
      </c>
    </row>
  </sheetData>
  <mergeCells count="1">
    <mergeCell ref="A4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workbookViewId="0">
      <selection activeCell="D2" sqref="D2:F2"/>
    </sheetView>
  </sheetViews>
  <sheetFormatPr defaultRowHeight="14.5"/>
  <cols>
    <col min="2" max="2" width="18" customWidth="1"/>
  </cols>
  <sheetData>
    <row r="1" spans="2:6" ht="15" thickBot="1"/>
    <row r="2" spans="2:6">
      <c r="B2" s="58"/>
      <c r="C2" s="59"/>
      <c r="D2" s="60">
        <v>7942</v>
      </c>
      <c r="E2" s="60" t="s">
        <v>302</v>
      </c>
      <c r="F2" s="153" t="s">
        <v>214</v>
      </c>
    </row>
    <row r="3" spans="2:6">
      <c r="B3" s="154" t="s">
        <v>209</v>
      </c>
      <c r="C3" s="57" t="s">
        <v>72</v>
      </c>
      <c r="D3">
        <v>1.0216113745409518E-4</v>
      </c>
      <c r="E3">
        <v>2.1895823298337842E-2</v>
      </c>
      <c r="F3" s="155">
        <v>3.009257048902847E-3</v>
      </c>
    </row>
    <row r="4" spans="2:6" ht="15" thickBot="1">
      <c r="B4" s="62"/>
      <c r="C4" s="63" t="s">
        <v>297</v>
      </c>
      <c r="D4" s="45">
        <v>8.0209924609641635E-5</v>
      </c>
      <c r="E4" s="45">
        <v>1.1506444870431844E-3</v>
      </c>
      <c r="F4" s="64">
        <v>1.3688771030827822E-3</v>
      </c>
    </row>
    <row r="5" spans="2:6" ht="15" thickBot="1"/>
    <row r="6" spans="2:6" ht="15" thickBot="1">
      <c r="B6" s="156" t="s">
        <v>210</v>
      </c>
      <c r="C6" s="157" t="s">
        <v>72</v>
      </c>
      <c r="D6" s="158">
        <f>'[1]BOF_Composition Norm'!H19/100*1000/342</f>
        <v>3.2728915808394814E-4</v>
      </c>
      <c r="E6" s="158">
        <f>'[1]BOF_Composition Norm'!I19/100*1000/342</f>
        <v>8.0714587612243274E-2</v>
      </c>
      <c r="F6" s="158">
        <f>'[1]BOF_Composition Norm'!J19/100*1000/342</f>
        <v>1.0379633562409315E-2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workbookViewId="0">
      <selection activeCell="F8" sqref="F8"/>
    </sheetView>
  </sheetViews>
  <sheetFormatPr defaultRowHeight="14.5"/>
  <sheetData>
    <row r="1" spans="2:6" ht="15" thickBot="1">
      <c r="B1" s="167"/>
      <c r="C1" s="167"/>
      <c r="D1" s="167"/>
      <c r="E1" s="167"/>
      <c r="F1" s="167"/>
    </row>
    <row r="2" spans="2:6" ht="15" thickBot="1">
      <c r="B2" s="405" t="s">
        <v>218</v>
      </c>
      <c r="C2" s="406"/>
      <c r="D2" s="406"/>
      <c r="E2" s="406"/>
      <c r="F2" s="407"/>
    </row>
    <row r="3" spans="2:6">
      <c r="B3" s="373"/>
      <c r="C3" s="374"/>
      <c r="D3" s="60">
        <v>7942</v>
      </c>
      <c r="E3" s="60" t="s">
        <v>302</v>
      </c>
      <c r="F3" s="153" t="s">
        <v>214</v>
      </c>
    </row>
    <row r="4" spans="2:6">
      <c r="B4" s="162" t="s">
        <v>217</v>
      </c>
      <c r="C4" s="160" t="s">
        <v>72</v>
      </c>
      <c r="D4" s="173">
        <v>1.0686227367747443E-2</v>
      </c>
      <c r="E4" s="173">
        <v>2.0484696893712573E-2</v>
      </c>
      <c r="F4" s="174">
        <v>5.9965826397280963E-3</v>
      </c>
    </row>
    <row r="5" spans="2:6">
      <c r="B5" s="162"/>
      <c r="C5" s="160" t="s">
        <v>297</v>
      </c>
      <c r="D5" s="173">
        <v>3.9130726541257935E-3</v>
      </c>
      <c r="E5" s="173">
        <v>8.9235881051101511E-3</v>
      </c>
      <c r="F5" s="174">
        <v>8.4309204153867152E-4</v>
      </c>
    </row>
    <row r="6" spans="2:6" ht="15" thickBot="1">
      <c r="B6" s="163"/>
      <c r="C6" s="164" t="s">
        <v>298</v>
      </c>
      <c r="D6" s="175">
        <v>1.9565363270628968E-3</v>
      </c>
      <c r="E6" s="175">
        <v>4.4617940525550756E-3</v>
      </c>
      <c r="F6" s="176">
        <v>4.2154602076933576E-4</v>
      </c>
    </row>
    <row r="7" spans="2:6">
      <c r="B7" s="167"/>
      <c r="C7" s="167"/>
      <c r="D7" s="167"/>
      <c r="E7" s="167"/>
      <c r="F7" s="167"/>
    </row>
    <row r="8" spans="2:6" ht="29" customHeight="1">
      <c r="B8" s="181"/>
      <c r="C8" s="181"/>
      <c r="D8" s="181"/>
      <c r="E8" s="181"/>
      <c r="F8" s="181"/>
    </row>
    <row r="9" spans="2:6">
      <c r="B9" s="182"/>
      <c r="C9" s="182"/>
      <c r="D9" s="182"/>
      <c r="E9" s="182"/>
      <c r="F9" s="182"/>
    </row>
    <row r="10" spans="2:6">
      <c r="B10" s="182"/>
      <c r="C10" s="182"/>
      <c r="D10" s="182"/>
      <c r="E10" s="182"/>
      <c r="F10" s="182"/>
    </row>
    <row r="11" spans="2:6">
      <c r="B11" s="182"/>
      <c r="C11" s="182"/>
      <c r="D11" s="182"/>
      <c r="E11" s="182"/>
      <c r="F11" s="182"/>
    </row>
  </sheetData>
  <mergeCells count="1">
    <mergeCell ref="B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workbookViewId="0">
      <selection activeCell="I9" sqref="I9"/>
    </sheetView>
  </sheetViews>
  <sheetFormatPr defaultRowHeight="14.5"/>
  <sheetData>
    <row r="1" spans="2:6">
      <c r="B1" s="408" t="s">
        <v>221</v>
      </c>
      <c r="C1" s="409"/>
      <c r="D1" s="409"/>
      <c r="E1" s="409"/>
      <c r="F1" s="410"/>
    </row>
    <row r="2" spans="2:6">
      <c r="B2" s="159" t="s">
        <v>211</v>
      </c>
      <c r="C2" s="160"/>
      <c r="D2" s="160" t="s">
        <v>212</v>
      </c>
      <c r="E2" s="160" t="s">
        <v>213</v>
      </c>
      <c r="F2" s="161" t="s">
        <v>214</v>
      </c>
    </row>
    <row r="3" spans="2:6">
      <c r="B3" s="162"/>
      <c r="C3" s="160" t="s">
        <v>72</v>
      </c>
      <c r="D3" s="173">
        <v>5.1315104166666667E-2</v>
      </c>
      <c r="E3" s="173">
        <v>4.658645833333333E-2</v>
      </c>
      <c r="F3" s="174">
        <v>3.6710416666666669E-2</v>
      </c>
    </row>
    <row r="4" spans="2:6">
      <c r="B4" s="162"/>
      <c r="C4" s="160" t="s">
        <v>222</v>
      </c>
      <c r="D4" s="173">
        <v>8.8991413603720475E-3</v>
      </c>
      <c r="E4" s="173">
        <v>5.3532977106609952E-3</v>
      </c>
      <c r="F4" s="174">
        <v>1.8269694743803064E-3</v>
      </c>
    </row>
    <row r="5" spans="2:6" ht="15" thickBot="1">
      <c r="B5" s="163"/>
      <c r="C5" s="164" t="s">
        <v>215</v>
      </c>
      <c r="D5" s="175">
        <v>3.1463216013283761E-3</v>
      </c>
      <c r="E5" s="175">
        <v>1.8926765564594049E-3</v>
      </c>
      <c r="F5" s="176">
        <v>6.4593125217756852E-4</v>
      </c>
    </row>
    <row r="6" spans="2:6" ht="15" thickBot="1">
      <c r="B6" s="165"/>
      <c r="C6" s="165"/>
      <c r="D6" s="165"/>
      <c r="E6" s="165"/>
      <c r="F6" s="165"/>
    </row>
    <row r="7" spans="2:6" ht="29" customHeight="1">
      <c r="B7" s="411" t="s">
        <v>216</v>
      </c>
      <c r="C7" s="412"/>
      <c r="D7" s="412"/>
      <c r="E7" s="412"/>
      <c r="F7" s="413"/>
    </row>
    <row r="8" spans="2:6" ht="14" customHeight="1">
      <c r="B8" s="168" t="s">
        <v>217</v>
      </c>
      <c r="C8" s="375"/>
      <c r="D8" s="160" t="s">
        <v>212</v>
      </c>
      <c r="E8" s="160" t="s">
        <v>213</v>
      </c>
      <c r="F8" s="161" t="s">
        <v>214</v>
      </c>
    </row>
    <row r="9" spans="2:6">
      <c r="B9" s="90"/>
      <c r="C9" s="166" t="s">
        <v>72</v>
      </c>
      <c r="D9" s="177">
        <v>1.7168637835199806E-2</v>
      </c>
      <c r="E9" s="177">
        <v>2.7013045453312127E-2</v>
      </c>
      <c r="F9" s="178">
        <v>6.6264752224162891E-3</v>
      </c>
    </row>
    <row r="10" spans="2:6">
      <c r="B10" s="168"/>
      <c r="C10" s="166" t="s">
        <v>222</v>
      </c>
      <c r="D10" s="177">
        <v>3.6600582749801514E-3</v>
      </c>
      <c r="E10" s="177">
        <v>1.1612407164601664E-2</v>
      </c>
      <c r="F10" s="178">
        <v>1.8923628836497398E-3</v>
      </c>
    </row>
    <row r="11" spans="2:6" ht="15" thickBot="1">
      <c r="B11" s="170"/>
      <c r="C11" s="171" t="s">
        <v>215</v>
      </c>
      <c r="D11" s="179">
        <v>1.8300291374900757E-3</v>
      </c>
      <c r="E11" s="179">
        <v>5.8062035823008319E-3</v>
      </c>
      <c r="F11" s="180">
        <v>9.4618144182486992E-4</v>
      </c>
    </row>
    <row r="12" spans="2:6" ht="15" thickBot="1">
      <c r="B12" s="167"/>
      <c r="C12" s="167"/>
      <c r="D12" s="167"/>
      <c r="E12" s="167"/>
      <c r="F12" s="167"/>
    </row>
    <row r="13" spans="2:6" ht="29" customHeight="1">
      <c r="B13" s="411" t="s">
        <v>219</v>
      </c>
      <c r="C13" s="412"/>
      <c r="D13" s="412"/>
      <c r="E13" s="412"/>
      <c r="F13" s="413"/>
    </row>
    <row r="14" spans="2:6" ht="15" customHeight="1">
      <c r="B14" s="168" t="s">
        <v>220</v>
      </c>
      <c r="C14" s="375"/>
      <c r="D14" s="160" t="s">
        <v>212</v>
      </c>
      <c r="E14" s="160" t="s">
        <v>213</v>
      </c>
      <c r="F14" s="161" t="s">
        <v>214</v>
      </c>
    </row>
    <row r="15" spans="2:6">
      <c r="B15" s="90"/>
      <c r="C15" s="166" t="s">
        <v>72</v>
      </c>
      <c r="D15" s="166">
        <v>0</v>
      </c>
      <c r="E15" s="166">
        <v>0</v>
      </c>
      <c r="F15" s="169">
        <v>8.0199999999999994E-2</v>
      </c>
    </row>
    <row r="16" spans="2:6">
      <c r="B16" s="168"/>
      <c r="C16" s="166" t="s">
        <v>222</v>
      </c>
      <c r="D16" s="166">
        <v>1E-4</v>
      </c>
      <c r="E16" s="166">
        <v>1E-4</v>
      </c>
      <c r="F16" s="169">
        <v>6.8999999999999999E-3</v>
      </c>
    </row>
    <row r="17" spans="2:6" ht="15" thickBot="1">
      <c r="B17" s="170"/>
      <c r="C17" s="171" t="s">
        <v>215</v>
      </c>
      <c r="D17" s="171">
        <v>1E-4</v>
      </c>
      <c r="E17" s="171">
        <v>1E-4</v>
      </c>
      <c r="F17" s="172">
        <v>2.8E-3</v>
      </c>
    </row>
    <row r="18" spans="2:6" ht="29" customHeight="1"/>
  </sheetData>
  <mergeCells count="3">
    <mergeCell ref="B1:F1"/>
    <mergeCell ref="B7:F7"/>
    <mergeCell ref="B13:F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tabSelected="1" topLeftCell="A4" workbookViewId="0">
      <selection activeCell="M19" sqref="M19"/>
    </sheetView>
  </sheetViews>
  <sheetFormatPr defaultRowHeight="14.5"/>
  <sheetData>
    <row r="1" spans="2:16" ht="15" thickBot="1"/>
    <row r="2" spans="2:16" ht="29.5" thickBot="1">
      <c r="B2" s="190"/>
      <c r="C2" s="191" t="s">
        <v>223</v>
      </c>
      <c r="D2" s="191" t="s">
        <v>224</v>
      </c>
      <c r="E2" s="191" t="s">
        <v>225</v>
      </c>
      <c r="F2" s="191" t="s">
        <v>226</v>
      </c>
      <c r="G2" s="191" t="s">
        <v>227</v>
      </c>
      <c r="H2" s="191" t="s">
        <v>228</v>
      </c>
      <c r="I2" s="192" t="s">
        <v>73</v>
      </c>
      <c r="J2" s="191" t="s">
        <v>103</v>
      </c>
      <c r="K2" s="191" t="s">
        <v>110</v>
      </c>
      <c r="L2" s="191" t="s">
        <v>229</v>
      </c>
      <c r="M2" s="191" t="s">
        <v>199</v>
      </c>
      <c r="N2" s="191" t="s">
        <v>124</v>
      </c>
      <c r="O2" s="191" t="s">
        <v>230</v>
      </c>
      <c r="P2" s="193" t="s">
        <v>231</v>
      </c>
    </row>
    <row r="3" spans="2:16">
      <c r="B3" s="194"/>
      <c r="C3" s="195" t="s">
        <v>190</v>
      </c>
      <c r="D3" s="195" t="s">
        <v>190</v>
      </c>
      <c r="E3" s="195" t="s">
        <v>190</v>
      </c>
      <c r="F3" s="195" t="s">
        <v>190</v>
      </c>
      <c r="G3" s="195" t="s">
        <v>190</v>
      </c>
      <c r="H3" s="195" t="s">
        <v>190</v>
      </c>
      <c r="I3" s="195" t="s">
        <v>190</v>
      </c>
      <c r="J3" s="195" t="s">
        <v>190</v>
      </c>
      <c r="K3" s="195" t="s">
        <v>190</v>
      </c>
      <c r="L3" s="195" t="s">
        <v>190</v>
      </c>
      <c r="M3" s="195" t="s">
        <v>190</v>
      </c>
      <c r="N3" s="195" t="s">
        <v>190</v>
      </c>
      <c r="O3" s="195" t="s">
        <v>190</v>
      </c>
      <c r="P3" s="196" t="s">
        <v>190</v>
      </c>
    </row>
    <row r="4" spans="2:16">
      <c r="B4" s="197">
        <v>7942</v>
      </c>
      <c r="C4" s="198">
        <v>5.7299647776260159</v>
      </c>
      <c r="D4" s="198">
        <v>7.34860413914648</v>
      </c>
      <c r="E4" s="198">
        <v>56.873063571723506</v>
      </c>
      <c r="F4" s="198">
        <v>12.91</v>
      </c>
      <c r="G4" s="198">
        <v>1.1909381871328848</v>
      </c>
      <c r="H4" s="198">
        <v>0.33832846905873082</v>
      </c>
      <c r="I4" s="198">
        <v>1.7595378649087376</v>
      </c>
      <c r="J4" s="198">
        <v>0.62083514856071242</v>
      </c>
      <c r="K4" s="198">
        <v>2.8700996057149792</v>
      </c>
      <c r="L4" s="198">
        <v>1.0216113745409518E-2</v>
      </c>
      <c r="M4" s="198">
        <v>1.069</v>
      </c>
      <c r="N4" s="24">
        <v>1.05</v>
      </c>
      <c r="O4" s="198">
        <v>91.769700207942705</v>
      </c>
      <c r="P4" s="199">
        <v>8.2302997920572896</v>
      </c>
    </row>
    <row r="5" spans="2:16">
      <c r="B5" s="197" t="s">
        <v>302</v>
      </c>
      <c r="C5" s="198">
        <v>6.5078899419381813</v>
      </c>
      <c r="D5" s="198">
        <v>7.8983130657666383</v>
      </c>
      <c r="E5" s="198">
        <v>47.454521802621365</v>
      </c>
      <c r="F5" s="198">
        <v>6.86</v>
      </c>
      <c r="G5" s="198">
        <v>1.0893970438718346</v>
      </c>
      <c r="H5" s="198">
        <v>0.35858868088581175</v>
      </c>
      <c r="I5" s="198">
        <v>1.6095170759674851</v>
      </c>
      <c r="J5" s="198">
        <v>0.56762523130236131</v>
      </c>
      <c r="K5" s="198">
        <v>3.0296131930522794</v>
      </c>
      <c r="L5" s="198">
        <v>2.1895823298337844</v>
      </c>
      <c r="M5" s="198">
        <v>2.048</v>
      </c>
      <c r="N5" s="24">
        <v>1.05</v>
      </c>
      <c r="O5" s="198">
        <v>80.668554967154236</v>
      </c>
      <c r="P5" s="199">
        <v>19.331445032845764</v>
      </c>
    </row>
    <row r="6" spans="2:16" ht="15" thickBot="1">
      <c r="B6" s="200" t="s">
        <v>214</v>
      </c>
      <c r="C6" s="201">
        <v>7.2674091180919245</v>
      </c>
      <c r="D6" s="201">
        <v>7.5738800566848195</v>
      </c>
      <c r="E6" s="201">
        <v>54.908504410212622</v>
      </c>
      <c r="F6" s="201">
        <v>7.85</v>
      </c>
      <c r="G6" s="201">
        <v>1.0165496913034162</v>
      </c>
      <c r="H6" s="201">
        <v>0.30318838534776626</v>
      </c>
      <c r="I6" s="201">
        <v>1.5018895965673416</v>
      </c>
      <c r="J6" s="201">
        <v>0.65133387144256705</v>
      </c>
      <c r="K6" s="201">
        <v>2.8579936901639345</v>
      </c>
      <c r="L6" s="201">
        <v>0.3009257048902847</v>
      </c>
      <c r="M6" s="201">
        <v>0.6</v>
      </c>
      <c r="N6" s="54">
        <v>1.05</v>
      </c>
      <c r="O6" s="201">
        <v>85.880827583982878</v>
      </c>
      <c r="P6" s="202">
        <v>14.119172416017122</v>
      </c>
    </row>
    <row r="7" spans="2:16" ht="15" thickBot="1">
      <c r="B7" s="203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</row>
    <row r="8" spans="2:16" ht="31.5" customHeight="1" thickBot="1">
      <c r="B8" s="204"/>
      <c r="C8" s="204"/>
      <c r="D8" s="204"/>
      <c r="E8" s="204"/>
      <c r="F8" s="204"/>
      <c r="G8" s="414" t="s">
        <v>305</v>
      </c>
      <c r="H8" s="415"/>
      <c r="I8" s="415"/>
      <c r="J8" s="416"/>
      <c r="K8" s="204"/>
      <c r="L8" s="429" t="s">
        <v>309</v>
      </c>
      <c r="M8" s="430"/>
      <c r="N8" s="430"/>
      <c r="O8" s="431"/>
      <c r="P8" s="65"/>
    </row>
    <row r="9" spans="2:16" ht="15" thickBot="1">
      <c r="B9" s="206"/>
      <c r="C9" s="207">
        <v>7942</v>
      </c>
      <c r="D9" s="207" t="s">
        <v>302</v>
      </c>
      <c r="E9" s="208" t="s">
        <v>214</v>
      </c>
      <c r="F9" s="204"/>
      <c r="G9" s="209"/>
      <c r="H9" s="210">
        <v>7942</v>
      </c>
      <c r="I9" s="210" t="s">
        <v>302</v>
      </c>
      <c r="J9" s="211" t="s">
        <v>214</v>
      </c>
      <c r="K9" s="212"/>
      <c r="L9" s="426"/>
      <c r="M9" s="427" t="s">
        <v>212</v>
      </c>
      <c r="N9" s="427" t="s">
        <v>213</v>
      </c>
      <c r="O9" s="428" t="s">
        <v>214</v>
      </c>
      <c r="P9" s="65"/>
    </row>
    <row r="10" spans="2:16">
      <c r="B10" s="205" t="s">
        <v>223</v>
      </c>
      <c r="C10" s="213">
        <v>5.7299647776260159</v>
      </c>
      <c r="D10" s="213">
        <v>6.5078899419381813</v>
      </c>
      <c r="E10" s="214">
        <v>7.2674091180919245</v>
      </c>
      <c r="F10" s="215"/>
      <c r="G10" s="216" t="s">
        <v>223</v>
      </c>
      <c r="H10" s="217">
        <f>C10/100</f>
        <v>5.7299647776260156E-2</v>
      </c>
      <c r="I10" s="217">
        <f t="shared" ref="I10:J10" si="0">D10/100</f>
        <v>6.5078899419381817E-2</v>
      </c>
      <c r="J10" s="217">
        <f t="shared" si="0"/>
        <v>7.2674091180919248E-2</v>
      </c>
      <c r="K10" s="212"/>
      <c r="L10" s="216" t="s">
        <v>225</v>
      </c>
      <c r="M10" s="424">
        <v>0.60329948363300601</v>
      </c>
      <c r="N10" s="424">
        <v>0.5075778241944745</v>
      </c>
      <c r="O10" s="425">
        <v>0.59211657830348785</v>
      </c>
      <c r="P10" s="65"/>
    </row>
    <row r="11" spans="2:16">
      <c r="B11" s="218" t="s">
        <v>224</v>
      </c>
      <c r="C11" s="219">
        <v>7.34860413914648</v>
      </c>
      <c r="D11" s="219">
        <v>7.8983130657666383</v>
      </c>
      <c r="E11" s="220">
        <v>7.5738800566848195</v>
      </c>
      <c r="F11" s="215"/>
      <c r="G11" s="221" t="s">
        <v>224</v>
      </c>
      <c r="H11" s="222">
        <f>C11/C$22*(100-$C$10)/100</f>
        <v>8.051501132737178E-2</v>
      </c>
      <c r="I11" s="222">
        <f>D11/D$22*(100-$D$10)/100</f>
        <v>9.9575203476626767E-2</v>
      </c>
      <c r="J11" s="376">
        <f>E11/E$22*(100-$E$10)/100</f>
        <v>8.9344385135328108E-2</v>
      </c>
      <c r="K11" s="204"/>
      <c r="L11" s="221" t="s">
        <v>226</v>
      </c>
      <c r="M11" s="417">
        <v>0.1483857347785382</v>
      </c>
      <c r="N11" s="417">
        <v>0.11875963570458369</v>
      </c>
      <c r="O11" s="418">
        <v>9.4358182823894729E-2</v>
      </c>
      <c r="P11" s="65"/>
    </row>
    <row r="12" spans="2:16">
      <c r="B12" s="218" t="s">
        <v>225</v>
      </c>
      <c r="C12" s="219">
        <f>E4</f>
        <v>56.873063571723506</v>
      </c>
      <c r="D12" s="219">
        <f>E5</f>
        <v>47.454521802621365</v>
      </c>
      <c r="E12" s="220">
        <f>E6</f>
        <v>54.908504410212622</v>
      </c>
      <c r="F12" s="215"/>
      <c r="G12" s="221" t="s">
        <v>225</v>
      </c>
      <c r="H12" s="222">
        <f t="shared" ref="H12:H21" si="1">C12/C$22*(100-$C$10)/100</f>
        <v>0.62312995379711766</v>
      </c>
      <c r="I12" s="222">
        <f t="shared" ref="I12:I21" si="2">D12/D$22*(100-$D$10)/100</f>
        <v>0.59826618988587643</v>
      </c>
      <c r="J12" s="376">
        <f t="shared" ref="J12:J21" si="3">E12/E$22*(100-$E$10)/100</f>
        <v>0.64772171311334614</v>
      </c>
      <c r="K12" s="204"/>
      <c r="L12" s="221" t="s">
        <v>306</v>
      </c>
      <c r="M12" s="417">
        <v>7.7952703866205508E-2</v>
      </c>
      <c r="N12" s="417">
        <v>8.4481065416766324E-2</v>
      </c>
      <c r="O12" s="418">
        <v>8.1674414406580187E-2</v>
      </c>
      <c r="P12" s="65"/>
    </row>
    <row r="13" spans="2:16">
      <c r="B13" s="218" t="s">
        <v>226</v>
      </c>
      <c r="C13" s="219">
        <f>F4</f>
        <v>12.91</v>
      </c>
      <c r="D13" s="219">
        <f>F5</f>
        <v>6.86</v>
      </c>
      <c r="E13" s="220">
        <f>F6</f>
        <v>7.85</v>
      </c>
      <c r="F13" s="215"/>
      <c r="G13" s="221" t="s">
        <v>226</v>
      </c>
      <c r="H13" s="222">
        <f t="shared" si="1"/>
        <v>0.14144846783883214</v>
      </c>
      <c r="I13" s="222">
        <f t="shared" si="2"/>
        <v>8.6485036761879325E-2</v>
      </c>
      <c r="J13" s="376">
        <f t="shared" si="3"/>
        <v>9.2601601565277039E-2</v>
      </c>
      <c r="K13" s="204"/>
      <c r="L13" s="221" t="s">
        <v>307</v>
      </c>
      <c r="M13" s="417">
        <v>3.489196379774917E-2</v>
      </c>
      <c r="N13" s="417">
        <v>3.2708489763024144E-2</v>
      </c>
      <c r="O13" s="418">
        <v>3.0407196109100695E-2</v>
      </c>
      <c r="P13" s="65"/>
    </row>
    <row r="14" spans="2:16">
      <c r="B14" s="218" t="s">
        <v>227</v>
      </c>
      <c r="C14" s="219">
        <v>1.1909381871328799</v>
      </c>
      <c r="D14" s="219">
        <v>1.0893970438718301</v>
      </c>
      <c r="E14" s="220">
        <v>1.0165496913034149</v>
      </c>
      <c r="F14" s="215"/>
      <c r="G14" s="221" t="s">
        <v>227</v>
      </c>
      <c r="H14" s="222">
        <f t="shared" si="1"/>
        <v>1.3048519121665547E-2</v>
      </c>
      <c r="I14" s="222">
        <f t="shared" si="2"/>
        <v>1.3734189998183367E-2</v>
      </c>
      <c r="J14" s="376">
        <f t="shared" si="3"/>
        <v>1.19916088516413E-2</v>
      </c>
      <c r="K14" s="204"/>
      <c r="L14" s="432" t="s">
        <v>308</v>
      </c>
      <c r="M14" s="417">
        <v>3.7022364503016984E-2</v>
      </c>
      <c r="N14" s="417">
        <v>3.8501785774401658E-2</v>
      </c>
      <c r="O14" s="418">
        <v>3.7829134900708751E-2</v>
      </c>
      <c r="P14" s="65"/>
    </row>
    <row r="15" spans="2:16" ht="15" thickBot="1">
      <c r="B15" s="218" t="s">
        <v>228</v>
      </c>
      <c r="C15" s="219">
        <v>0.33832846905873082</v>
      </c>
      <c r="D15" s="219">
        <v>0.35858868088581181</v>
      </c>
      <c r="E15" s="220">
        <v>0.30318838534776626</v>
      </c>
      <c r="F15" s="215"/>
      <c r="G15" s="221" t="s">
        <v>228</v>
      </c>
      <c r="H15" s="222">
        <f t="shared" si="1"/>
        <v>3.7068972559732923E-3</v>
      </c>
      <c r="I15" s="222">
        <f t="shared" si="2"/>
        <v>4.5207806485135929E-3</v>
      </c>
      <c r="J15" s="376">
        <f t="shared" si="3"/>
        <v>3.5765261221902588E-3</v>
      </c>
      <c r="K15" s="204"/>
      <c r="L15" s="224" t="s">
        <v>231</v>
      </c>
      <c r="M15" s="419">
        <v>9.8447749421484015E-2</v>
      </c>
      <c r="N15" s="419">
        <v>0.21797119914674973</v>
      </c>
      <c r="O15" s="420">
        <v>0.16361449345622781</v>
      </c>
      <c r="P15" s="65"/>
    </row>
    <row r="16" spans="2:16" ht="15" thickBot="1">
      <c r="B16" s="218" t="s">
        <v>232</v>
      </c>
      <c r="C16" s="219">
        <v>1.76</v>
      </c>
      <c r="D16" s="219">
        <v>1.61</v>
      </c>
      <c r="E16" s="220">
        <v>1.5</v>
      </c>
      <c r="F16" s="204"/>
      <c r="G16" s="223" t="s">
        <v>232</v>
      </c>
      <c r="H16" s="222">
        <f t="shared" si="1"/>
        <v>1.92834472034349E-2</v>
      </c>
      <c r="I16" s="222">
        <f t="shared" si="2"/>
        <v>2.0297508627788004E-2</v>
      </c>
      <c r="J16" s="376">
        <f t="shared" si="3"/>
        <v>1.7694573547505171E-2</v>
      </c>
      <c r="K16" s="204"/>
      <c r="L16" s="421" t="s">
        <v>82</v>
      </c>
      <c r="M16" s="422">
        <v>0.99999999999999989</v>
      </c>
      <c r="N16" s="422">
        <v>1</v>
      </c>
      <c r="O16" s="423">
        <v>1</v>
      </c>
      <c r="P16" s="65"/>
    </row>
    <row r="17" spans="2:16">
      <c r="B17" s="218" t="s">
        <v>103</v>
      </c>
      <c r="C17" s="219">
        <v>0.62</v>
      </c>
      <c r="D17" s="219">
        <v>0.56999999999999995</v>
      </c>
      <c r="E17" s="220">
        <v>0.65</v>
      </c>
      <c r="F17" s="215"/>
      <c r="G17" s="221" t="s">
        <v>103</v>
      </c>
      <c r="H17" s="222">
        <f t="shared" si="1"/>
        <v>6.7930325375736575E-3</v>
      </c>
      <c r="I17" s="222">
        <f t="shared" si="2"/>
        <v>7.1860744831299143E-3</v>
      </c>
      <c r="J17" s="376">
        <f t="shared" si="3"/>
        <v>7.6676485372522392E-3</v>
      </c>
      <c r="K17" s="204"/>
      <c r="L17" s="381"/>
      <c r="M17" s="382"/>
      <c r="N17" s="382"/>
      <c r="O17" s="382"/>
      <c r="P17" s="65"/>
    </row>
    <row r="18" spans="2:16">
      <c r="B18" s="218" t="s">
        <v>110</v>
      </c>
      <c r="C18" s="219">
        <v>2.8700996057149792</v>
      </c>
      <c r="D18" s="219">
        <v>3.0296131930522794</v>
      </c>
      <c r="E18" s="220">
        <v>2.8579936901639345</v>
      </c>
      <c r="F18" s="215"/>
      <c r="G18" s="221" t="s">
        <v>110</v>
      </c>
      <c r="H18" s="222">
        <f t="shared" si="1"/>
        <v>3.1446258076934158E-2</v>
      </c>
      <c r="I18" s="222">
        <f t="shared" si="2"/>
        <v>3.8194782562011802E-2</v>
      </c>
      <c r="J18" s="376">
        <f t="shared" si="3"/>
        <v>3.3713986365940959E-2</v>
      </c>
      <c r="K18" s="204"/>
      <c r="L18" s="381"/>
      <c r="M18" s="382"/>
      <c r="N18" s="382"/>
      <c r="O18" s="382"/>
      <c r="P18" s="65"/>
    </row>
    <row r="19" spans="2:16">
      <c r="B19" s="218" t="s">
        <v>229</v>
      </c>
      <c r="C19" s="219">
        <v>1.0216113745409519E-2</v>
      </c>
      <c r="D19" s="219">
        <v>2.189582329833784</v>
      </c>
      <c r="E19" s="220">
        <v>0.3009257048902847</v>
      </c>
      <c r="F19" s="215"/>
      <c r="G19" s="224" t="s">
        <v>229</v>
      </c>
      <c r="H19" s="222">
        <f t="shared" si="1"/>
        <v>1.1193289206471025E-4</v>
      </c>
      <c r="I19" s="222">
        <f t="shared" si="2"/>
        <v>2.7604388963387197E-2</v>
      </c>
      <c r="J19" s="376">
        <f t="shared" si="3"/>
        <v>3.5498346783439856E-3</v>
      </c>
      <c r="K19" s="204"/>
      <c r="L19" s="381"/>
      <c r="M19" s="382"/>
      <c r="N19" s="382"/>
      <c r="O19" s="382"/>
      <c r="P19" s="65"/>
    </row>
    <row r="20" spans="2:16">
      <c r="B20" s="218" t="s">
        <v>199</v>
      </c>
      <c r="C20" s="219">
        <f>M4</f>
        <v>1.069</v>
      </c>
      <c r="D20" s="219">
        <f>M5</f>
        <v>2.048</v>
      </c>
      <c r="E20" s="220">
        <f>M6</f>
        <v>0.6</v>
      </c>
      <c r="F20" s="215"/>
      <c r="G20" s="221" t="s">
        <v>199</v>
      </c>
      <c r="H20" s="222">
        <f t="shared" si="1"/>
        <v>1.1712502875268128E-2</v>
      </c>
      <c r="I20" s="222">
        <f t="shared" si="2"/>
        <v>2.5819439546403627E-2</v>
      </c>
      <c r="J20" s="376">
        <f t="shared" si="3"/>
        <v>7.0778294190020673E-3</v>
      </c>
      <c r="K20" s="204"/>
      <c r="L20" s="381"/>
      <c r="M20" s="382"/>
      <c r="N20" s="382"/>
      <c r="O20" s="382"/>
      <c r="P20" s="65"/>
    </row>
    <row r="21" spans="2:16" ht="15" thickBot="1">
      <c r="B21" s="225" t="s">
        <v>124</v>
      </c>
      <c r="C21" s="187">
        <v>1.05</v>
      </c>
      <c r="D21" s="187">
        <v>1.05</v>
      </c>
      <c r="E21" s="188">
        <v>1.05</v>
      </c>
      <c r="F21" s="215"/>
      <c r="G21" s="226" t="s">
        <v>124</v>
      </c>
      <c r="H21" s="222">
        <f t="shared" si="1"/>
        <v>1.1504329297503774E-2</v>
      </c>
      <c r="I21" s="222">
        <f t="shared" si="2"/>
        <v>1.3237505626818264E-2</v>
      </c>
      <c r="J21" s="376">
        <f t="shared" si="3"/>
        <v>1.2386201483253619E-2</v>
      </c>
      <c r="K21" s="204"/>
      <c r="L21" s="381"/>
      <c r="M21" s="382"/>
      <c r="N21" s="382"/>
      <c r="O21" s="382"/>
      <c r="P21" s="65"/>
    </row>
    <row r="22" spans="2:16" ht="15" thickBot="1">
      <c r="B22" s="227" t="s">
        <v>82</v>
      </c>
      <c r="C22" s="228">
        <f>SUM(C11:C21)</f>
        <v>86.040250086522008</v>
      </c>
      <c r="D22" s="228">
        <f t="shared" ref="D22:E22" si="4">SUM(D11:D21)</f>
        <v>74.158016116031703</v>
      </c>
      <c r="E22" s="229">
        <f t="shared" si="4"/>
        <v>78.611041938602838</v>
      </c>
      <c r="F22" s="215"/>
      <c r="G22" s="230" t="s">
        <v>82</v>
      </c>
      <c r="H22" s="377">
        <f>SUM(H10:H21)</f>
        <v>0.99999999999999989</v>
      </c>
      <c r="I22" s="377">
        <f t="shared" ref="I22:J22" si="5">SUM(I10:I21)</f>
        <v>1.0000000000000002</v>
      </c>
      <c r="J22" s="378">
        <f t="shared" si="5"/>
        <v>1</v>
      </c>
      <c r="K22" s="204"/>
      <c r="L22" s="381"/>
      <c r="M22" s="382"/>
      <c r="N22" s="382"/>
      <c r="O22" s="382"/>
      <c r="P22" s="65"/>
    </row>
    <row r="23" spans="2:16" ht="15" thickBot="1">
      <c r="B23" s="189" t="s">
        <v>233</v>
      </c>
      <c r="C23" s="231">
        <f>100-C22-C10</f>
        <v>8.2297851358519765</v>
      </c>
      <c r="D23" s="231">
        <f>100-D22-D10</f>
        <v>19.334093942030115</v>
      </c>
      <c r="E23" s="232">
        <f>100-E22-E10</f>
        <v>14.121548943305237</v>
      </c>
      <c r="F23" s="204"/>
      <c r="G23" s="233" t="s">
        <v>234</v>
      </c>
      <c r="H23" s="204"/>
      <c r="I23" s="204"/>
      <c r="J23" s="204"/>
      <c r="K23" s="204"/>
      <c r="L23" s="379"/>
      <c r="M23" s="380"/>
      <c r="N23" s="380"/>
      <c r="O23" s="380"/>
      <c r="P23" s="65"/>
    </row>
  </sheetData>
  <mergeCells count="2">
    <mergeCell ref="G8:J8"/>
    <mergeCell ref="L8:O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Biomass_Protein</vt:lpstr>
      <vt:lpstr>Biomass_Carbohydrate</vt:lpstr>
      <vt:lpstr>Biomass_Lipid</vt:lpstr>
      <vt:lpstr>Biomass_Pigments</vt:lpstr>
      <vt:lpstr>Biomass_Nucleotides</vt:lpstr>
      <vt:lpstr>Biomass_Cofactors</vt:lpstr>
      <vt:lpstr>Biomass_Sucrose</vt:lpstr>
      <vt:lpstr>Biomass_Glycogen</vt:lpstr>
      <vt:lpstr>Growth, Sucrose, Glycogen rates</vt:lpstr>
      <vt:lpstr>Biomass Composition</vt:lpstr>
    </vt:vector>
  </TitlesOfParts>
  <Company>Vanderbilt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Bo</dc:creator>
  <cp:lastModifiedBy>Wang, Bo</cp:lastModifiedBy>
  <dcterms:created xsi:type="dcterms:W3CDTF">2023-03-14T05:10:59Z</dcterms:created>
  <dcterms:modified xsi:type="dcterms:W3CDTF">2023-07-19T18:24:40Z</dcterms:modified>
</cp:coreProperties>
</file>