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https://vrisk-my.sharepoint.com/personal/pwillette_factorinc_com/Documents/Documents/DOE ARPA-E PNNL/"/>
    </mc:Choice>
  </mc:AlternateContent>
  <xr:revisionPtr revIDLastSave="2" documentId="8_{6E3AFCCA-1E5A-4ADE-B2F0-DFF37DE6AD4E}" xr6:coauthVersionLast="47" xr6:coauthVersionMax="47" xr10:uidLastSave="{A29858B5-EF7A-4C54-8214-8A7A012C5643}"/>
  <bookViews>
    <workbookView xWindow="-120" yWindow="-120" windowWidth="29040" windowHeight="17520" xr2:uid="{18A87EB8-00F8-4EA5-9837-B281AADEA248}"/>
  </bookViews>
  <sheets>
    <sheet name="Truck Fuel and Emissions" sheetId="1" r:id="rId1"/>
    <sheet name="Train Fuel and Emissions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" i="2" l="1"/>
  <c r="F12" i="2"/>
  <c r="F13" i="2"/>
  <c r="F14" i="2"/>
  <c r="F15" i="2"/>
  <c r="D4" i="1"/>
  <c r="E14" i="2"/>
  <c r="E12" i="2"/>
  <c r="E11" i="2"/>
  <c r="E8" i="2"/>
  <c r="E7" i="2"/>
  <c r="D41" i="1"/>
  <c r="D43" i="1" s="1"/>
  <c r="D36" i="1"/>
  <c r="G31" i="1"/>
  <c r="D11" i="1" s="1"/>
  <c r="D31" i="1"/>
  <c r="G41" i="1" s="1"/>
  <c r="G25" i="1"/>
  <c r="D25" i="1"/>
  <c r="E11" i="1"/>
  <c r="E10" i="1"/>
  <c r="E9" i="1"/>
  <c r="E8" i="1"/>
  <c r="E7" i="1"/>
  <c r="E6" i="1"/>
  <c r="D6" i="1"/>
  <c r="E5" i="1"/>
  <c r="D5" i="1"/>
  <c r="E3" i="1"/>
  <c r="D9" i="1" l="1"/>
  <c r="D7" i="1"/>
  <c r="D10" i="1"/>
  <c r="D8" i="1"/>
  <c r="E6" i="2"/>
  <c r="E13" i="2"/>
  <c r="E5" i="2"/>
  <c r="E9" i="2"/>
  <c r="E15" i="2"/>
  <c r="E10" i="2"/>
  <c r="F14" i="1"/>
  <c r="D44" i="1" l="1"/>
</calcChain>
</file>

<file path=xl/sharedStrings.xml><?xml version="1.0" encoding="utf-8"?>
<sst xmlns="http://schemas.openxmlformats.org/spreadsheetml/2006/main" count="94" uniqueCount="68">
  <si>
    <t>GJ/gal of fuel</t>
  </si>
  <si>
    <t>UHV</t>
  </si>
  <si>
    <t>LHV</t>
  </si>
  <si>
    <t>https://www.energy350.com/wp-content/uploads/2014/11/MIT-Energy-Conversions.pdf</t>
  </si>
  <si>
    <t>Ammonia</t>
  </si>
  <si>
    <t>https://ammoniaenergy.org/articles/ammonia-for-power-a-literature-review</t>
  </si>
  <si>
    <t>Electricity (kWh)</t>
  </si>
  <si>
    <t>NA</t>
  </si>
  <si>
    <t>Btu/kWh</t>
  </si>
  <si>
    <t>Hydrogen (kg-h2)</t>
  </si>
  <si>
    <t>Btu/lb</t>
  </si>
  <si>
    <t>https://www.nrel.gov/docs/fy24osti/89761.pdf</t>
  </si>
  <si>
    <t>LNG (lbs)</t>
  </si>
  <si>
    <t>Shell Starship 3.0 a natural gas-powered trucking revolution | Commercial Carrier Journal</t>
  </si>
  <si>
    <t>E-diesel (Gallons)</t>
  </si>
  <si>
    <t>Btu/gal</t>
  </si>
  <si>
    <t>https://doi.org/10.1021/es5052759</t>
  </si>
  <si>
    <t>FT biofuels (Gallons)</t>
  </si>
  <si>
    <t>https://theicct.org/sites/default/files/publications/ICCT_NG-HDV-emissions-assessmnt_20150730.pdf</t>
  </si>
  <si>
    <t>FT biofuels CCS (Gallons)</t>
  </si>
  <si>
    <t>Petroleum Diesel (Gallons)</t>
  </si>
  <si>
    <t>Renewable Diesel (Gallons)</t>
  </si>
  <si>
    <t>https://theicct.org/wp-content/uploads/2023/02/lca-ghg-emissions-hdv-fuels-europe-feb23.pdf</t>
  </si>
  <si>
    <t>Fact Sheet | Vehicle Efficiency and Emissions Standards | White Papers | EESI</t>
  </si>
  <si>
    <t>https://www.jstor.org/stable/resrep17234.9?seq=5</t>
  </si>
  <si>
    <t>FactSheet_Vehicle_Emissions_081815.pdf</t>
  </si>
  <si>
    <t>Emission Standards: USA: HD Vehicles Fuel Economy</t>
  </si>
  <si>
    <t>Category</t>
  </si>
  <si>
    <r>
      <t>EPA CO</t>
    </r>
    <r>
      <rPr>
        <vertAlign val="subscript"/>
        <sz val="12"/>
        <color rgb="FFFFFFFF"/>
        <rFont val="Arial"/>
        <family val="2"/>
      </rPr>
      <t>2</t>
    </r>
    <r>
      <rPr>
        <sz val="12"/>
        <color rgb="FFFFFFFF"/>
        <rFont val="Arial"/>
        <family val="2"/>
      </rPr>
      <t> Emissions</t>
    </r>
  </si>
  <si>
    <t>NHTSA Fuel Consumption</t>
  </si>
  <si>
    <t>g/ton-mile</t>
  </si>
  <si>
    <t>gal/1,000 ton-mile</t>
  </si>
  <si>
    <t>Low Roof</t>
  </si>
  <si>
    <t>Mid Roof</t>
  </si>
  <si>
    <t>High Roof</t>
  </si>
  <si>
    <t>Final Phase 1 Standards (2017)</t>
  </si>
  <si>
    <t>Day Cab Class 7</t>
  </si>
  <si>
    <t>Day Cab Class 8</t>
  </si>
  <si>
    <t>Sleeper Cab Class 8</t>
  </si>
  <si>
    <t>2017 Average</t>
  </si>
  <si>
    <t>Final Phase 2 Standards (2027)</t>
  </si>
  <si>
    <t>Heavy-haul Class 8</t>
  </si>
  <si>
    <t>2027 Average</t>
  </si>
  <si>
    <t>Final Phase 3 Standards (2032)</t>
  </si>
  <si>
    <t>2032 Average</t>
  </si>
  <si>
    <t>MJ/gal diesel</t>
  </si>
  <si>
    <t>MJ/kWh</t>
  </si>
  <si>
    <t>kWh/gal diesel</t>
  </si>
  <si>
    <t>Powertrain Efficincy</t>
  </si>
  <si>
    <t>Ammonia​ (PEMFC)</t>
  </si>
  <si>
    <t>Fuels and Fuel Technologies for Powering 21st Century Passenger and Freight Rail: Simulation-Based Case Studies in a U.S. Context</t>
  </si>
  <si>
    <t>Ammonia​ (SOFC)</t>
  </si>
  <si>
    <t>(Table 4)</t>
  </si>
  <si>
    <t>Electricity​ (kWh)</t>
  </si>
  <si>
    <t>https://www.sciencedirect.com/science/article/pii/S1361920923001360</t>
  </si>
  <si>
    <t>Hydrogen​ (PEMFC) (kg-H2)</t>
  </si>
  <si>
    <t>Hydrogen​ (SOFC) (kg-H2)</t>
  </si>
  <si>
    <t>LNG​ (lbs)</t>
  </si>
  <si>
    <t>https://railroads.dot.gov/sites/fra.dot.gov/files/fra_net/18212/Railroad%20Energy%20Intensity%20and%20Criteria%20Pollutant%20Emissions.pdf</t>
  </si>
  <si>
    <t>E-diesel​ (Gallons)</t>
  </si>
  <si>
    <t>https://railtec.illinois.edu/wp/wp-content/uploads/pdf-archive/UP-Iden-Seminar-2013Feb15.pdf</t>
  </si>
  <si>
    <t>FT biofuels​ (Gallons)</t>
  </si>
  <si>
    <t>FT biofuels CCS​ (Gallons)</t>
  </si>
  <si>
    <t>Petroleum diesel​ (Gallons)</t>
  </si>
  <si>
    <t>https://www.csx.com/index.cfm/about-us/the-csx-advantage/fuel-efficiency/</t>
  </si>
  <si>
    <t>Renewable diesel (Gallons)</t>
  </si>
  <si>
    <t>Fuel Consumption (Unit/ ton-miles)</t>
  </si>
  <si>
    <t>Fuel Consumption (Unit/ ton-mile)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</si>
</sst>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00"/>
    <numFmt numFmtId="165" formatCode="0.0"/>
    <numFmt numFmtId="166" formatCode="0.000000"/>
    <numFmt numFmtId="167" formatCode="0.000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2"/>
      <color rgb="FFFFFFFF"/>
      <name val="Arial"/>
      <family val="2"/>
    </font>
    <font>
      <vertAlign val="subscript"/>
      <sz val="12"/>
      <color rgb="FFFFFFFF"/>
      <name val="Arial"/>
      <family val="2"/>
    </font>
    <font>
      <i/>
      <sz val="12"/>
      <color rgb="FFFFFFFF"/>
      <name val="Arial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339999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rgb="FFF5F5F5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52">
    <xf numFmtId="0" fontId="0" fillId="0" borderId="0" xfId="0"/>
    <xf numFmtId="0" fontId="2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4" fillId="0" borderId="1" xfId="0" applyFont="1" applyBorder="1"/>
    <xf numFmtId="0" fontId="4" fillId="2" borderId="1" xfId="0" applyFont="1" applyFill="1" applyBorder="1"/>
    <xf numFmtId="164" fontId="4" fillId="0" borderId="1" xfId="0" applyNumberFormat="1" applyFont="1" applyBorder="1"/>
    <xf numFmtId="43" fontId="4" fillId="0" borderId="1" xfId="1" applyFont="1" applyBorder="1"/>
    <xf numFmtId="0" fontId="0" fillId="0" borderId="1" xfId="0" applyBorder="1"/>
    <xf numFmtId="0" fontId="3" fillId="0" borderId="0" xfId="2"/>
    <xf numFmtId="164" fontId="0" fillId="2" borderId="0" xfId="0" applyNumberFormat="1" applyFill="1"/>
    <xf numFmtId="164" fontId="0" fillId="0" borderId="1" xfId="0" applyNumberFormat="1" applyBorder="1" applyAlignment="1">
      <alignment horizontal="right"/>
    </xf>
    <xf numFmtId="43" fontId="0" fillId="0" borderId="1" xfId="1" applyFont="1" applyBorder="1"/>
    <xf numFmtId="164" fontId="0" fillId="2" borderId="1" xfId="0" applyNumberFormat="1" applyFill="1" applyBorder="1"/>
    <xf numFmtId="164" fontId="0" fillId="0" borderId="1" xfId="0" applyNumberFormat="1" applyBorder="1"/>
    <xf numFmtId="43" fontId="0" fillId="0" borderId="1" xfId="1" applyFont="1" applyFill="1" applyBorder="1"/>
    <xf numFmtId="43" fontId="0" fillId="0" borderId="0" xfId="1" applyFont="1"/>
    <xf numFmtId="43" fontId="0" fillId="0" borderId="0" xfId="0" applyNumberFormat="1"/>
    <xf numFmtId="0" fontId="5" fillId="3" borderId="2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top" wrapText="1"/>
    </xf>
    <xf numFmtId="0" fontId="7" fillId="3" borderId="6" xfId="0" applyFont="1" applyFill="1" applyBorder="1" applyAlignment="1">
      <alignment horizontal="center" vertical="top" wrapText="1"/>
    </xf>
    <xf numFmtId="0" fontId="5" fillId="3" borderId="1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0" fontId="8" fillId="4" borderId="5" xfId="0" applyFont="1" applyFill="1" applyBorder="1" applyAlignment="1">
      <alignment horizontal="left" vertical="top" wrapText="1"/>
    </xf>
    <xf numFmtId="0" fontId="8" fillId="4" borderId="1" xfId="0" applyFont="1" applyFill="1" applyBorder="1" applyAlignment="1">
      <alignment horizontal="left" vertical="top" wrapText="1"/>
    </xf>
    <xf numFmtId="0" fontId="8" fillId="4" borderId="6" xfId="0" applyFont="1" applyFill="1" applyBorder="1" applyAlignment="1">
      <alignment horizontal="left" vertical="top" wrapText="1"/>
    </xf>
    <xf numFmtId="0" fontId="8" fillId="5" borderId="5" xfId="0" applyFont="1" applyFill="1" applyBorder="1" applyAlignment="1">
      <alignment vertical="top" wrapText="1"/>
    </xf>
    <xf numFmtId="0" fontId="8" fillId="5" borderId="1" xfId="0" applyFont="1" applyFill="1" applyBorder="1" applyAlignment="1">
      <alignment horizontal="center" vertical="top" wrapText="1"/>
    </xf>
    <xf numFmtId="0" fontId="8" fillId="5" borderId="6" xfId="0" applyFont="1" applyFill="1" applyBorder="1" applyAlignment="1">
      <alignment horizontal="center" vertical="top" wrapText="1"/>
    </xf>
    <xf numFmtId="0" fontId="9" fillId="5" borderId="5" xfId="0" applyFont="1" applyFill="1" applyBorder="1" applyAlignment="1">
      <alignment vertical="top" wrapText="1"/>
    </xf>
    <xf numFmtId="165" fontId="9" fillId="5" borderId="7" xfId="0" applyNumberFormat="1" applyFont="1" applyFill="1" applyBorder="1" applyAlignment="1">
      <alignment horizontal="center" vertical="top" wrapText="1"/>
    </xf>
    <xf numFmtId="165" fontId="9" fillId="5" borderId="8" xfId="0" applyNumberFormat="1" applyFont="1" applyFill="1" applyBorder="1" applyAlignment="1">
      <alignment horizontal="center" vertical="top" wrapText="1"/>
    </xf>
    <xf numFmtId="165" fontId="9" fillId="5" borderId="9" xfId="0" applyNumberFormat="1" applyFont="1" applyFill="1" applyBorder="1" applyAlignment="1">
      <alignment horizontal="center" vertical="top" wrapText="1"/>
    </xf>
    <xf numFmtId="165" fontId="9" fillId="5" borderId="10" xfId="0" applyNumberFormat="1" applyFont="1" applyFill="1" applyBorder="1" applyAlignment="1">
      <alignment horizontal="center" vertical="top" wrapText="1"/>
    </xf>
    <xf numFmtId="0" fontId="9" fillId="5" borderId="11" xfId="0" applyFont="1" applyFill="1" applyBorder="1" applyAlignment="1">
      <alignment vertical="top" wrapText="1"/>
    </xf>
    <xf numFmtId="165" fontId="9" fillId="5" borderId="12" xfId="0" applyNumberFormat="1" applyFont="1" applyFill="1" applyBorder="1" applyAlignment="1">
      <alignment horizontal="center" vertical="top" wrapText="1"/>
    </xf>
    <xf numFmtId="165" fontId="9" fillId="5" borderId="13" xfId="0" applyNumberFormat="1" applyFont="1" applyFill="1" applyBorder="1" applyAlignment="1">
      <alignment horizontal="center" vertical="top" wrapText="1"/>
    </xf>
    <xf numFmtId="165" fontId="9" fillId="5" borderId="14" xfId="0" applyNumberFormat="1" applyFont="1" applyFill="1" applyBorder="1" applyAlignment="1">
      <alignment horizontal="center" vertical="top" wrapText="1"/>
    </xf>
    <xf numFmtId="165" fontId="9" fillId="5" borderId="15" xfId="0" applyNumberFormat="1" applyFont="1" applyFill="1" applyBorder="1" applyAlignment="1">
      <alignment horizontal="center" vertical="top" wrapText="1"/>
    </xf>
    <xf numFmtId="165" fontId="9" fillId="5" borderId="16" xfId="0" applyNumberFormat="1" applyFont="1" applyFill="1" applyBorder="1" applyAlignment="1">
      <alignment horizontal="center" vertical="top" wrapText="1"/>
    </xf>
    <xf numFmtId="167" fontId="2" fillId="0" borderId="1" xfId="0" applyNumberFormat="1" applyFont="1" applyBorder="1" applyAlignment="1">
      <alignment wrapText="1"/>
    </xf>
    <xf numFmtId="167" fontId="0" fillId="0" borderId="1" xfId="0" applyNumberFormat="1" applyBorder="1"/>
    <xf numFmtId="167" fontId="0" fillId="0" borderId="0" xfId="0" applyNumberFormat="1"/>
    <xf numFmtId="167" fontId="0" fillId="2" borderId="1" xfId="0" applyNumberFormat="1" applyFill="1" applyBorder="1"/>
    <xf numFmtId="0" fontId="0" fillId="0" borderId="0" xfId="0" applyBorder="1"/>
    <xf numFmtId="166" fontId="0" fillId="0" borderId="0" xfId="0" applyNumberFormat="1" applyBorder="1"/>
    <xf numFmtId="0" fontId="0" fillId="0" borderId="1" xfId="0" applyFill="1" applyBorder="1"/>
    <xf numFmtId="43" fontId="4" fillId="0" borderId="1" xfId="1" applyFont="1" applyFill="1" applyBorder="1"/>
    <xf numFmtId="0" fontId="3" fillId="0" borderId="0" xfId="2" applyAlignment="1"/>
    <xf numFmtId="164" fontId="0" fillId="0" borderId="1" xfId="0" applyNumberFormat="1" applyFill="1" applyBorder="1"/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vrisk-my.sharepoint.com/personal/pwillette_factorinc_com/Documents/Documents/DOE%20ARPA-E%20PNNL/Corridor%20Analysis/FAF%20Data%20Master%20v2.0.xlsx" TargetMode="External"/><Relationship Id="rId1" Type="http://schemas.openxmlformats.org/officeDocument/2006/relationships/externalLinkPath" Target="Corridor%20Analysis/FAF%20Data%20Master%20v2.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ruck"/>
      <sheetName val="Truck_ETL"/>
      <sheetName val="Multiple Mode"/>
      <sheetName val="Multiple Mode_ETL"/>
      <sheetName val="Rail"/>
      <sheetName val="Rail_ETL"/>
      <sheetName val="public.task_4.fuels_lca_ghg"/>
      <sheetName val="GCAM_Pivot"/>
      <sheetName val="Fuel Properties Comparison"/>
      <sheetName val="Fuels"/>
      <sheetName val="HD EV"/>
      <sheetName val="4yr Projection Train"/>
      <sheetName val="Truck Fuel and Emissions"/>
      <sheetName val="4yr Projection Truck"/>
      <sheetName val="Train Fuel and Emissions"/>
      <sheetName val="Sheet1"/>
      <sheetName val="Sheet2"/>
      <sheetName val="Train Energy Intensity"/>
    </sheetNames>
    <sheetDataSet>
      <sheetData sheetId="0"/>
      <sheetData sheetId="1">
        <row r="20">
          <cell r="D20">
            <v>2.9720999999999997</v>
          </cell>
        </row>
      </sheetData>
      <sheetData sheetId="2"/>
      <sheetData sheetId="3"/>
      <sheetData sheetId="4"/>
      <sheetData sheetId="5">
        <row r="7">
          <cell r="D7">
            <v>54.521999999999998</v>
          </cell>
        </row>
      </sheetData>
      <sheetData sheetId="6"/>
      <sheetData sheetId="7">
        <row r="3">
          <cell r="A3" t="str">
            <v>Sum of kgCO2e_GJ</v>
          </cell>
        </row>
      </sheetData>
      <sheetData sheetId="8"/>
      <sheetData sheetId="9">
        <row r="8">
          <cell r="D8">
            <v>3.202</v>
          </cell>
          <cell r="F8">
            <v>45.6</v>
          </cell>
        </row>
        <row r="39">
          <cell r="F39">
            <v>141.69999999999999</v>
          </cell>
        </row>
        <row r="41">
          <cell r="F41">
            <v>52.2</v>
          </cell>
        </row>
      </sheetData>
      <sheetData sheetId="10">
        <row r="62">
          <cell r="C62">
            <v>9.5000000000000001E-2</v>
          </cell>
        </row>
      </sheetData>
      <sheetData sheetId="11"/>
      <sheetData sheetId="12"/>
      <sheetData sheetId="13"/>
      <sheetData sheetId="14"/>
      <sheetData sheetId="15"/>
      <sheetData sheetId="16"/>
      <sheetData sheetId="17">
        <row r="14">
          <cell r="D14">
            <v>26.11</v>
          </cell>
          <cell r="G14">
            <v>422.92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oi.org/10.1021/es5052759" TargetMode="External"/><Relationship Id="rId3" Type="http://schemas.openxmlformats.org/officeDocument/2006/relationships/hyperlink" Target="https://dieselnet.com/standards/us/fe_hd.php" TargetMode="External"/><Relationship Id="rId7" Type="http://schemas.openxmlformats.org/officeDocument/2006/relationships/hyperlink" Target="https://www.ccjdigital.com/test-drives/article/15706446/shell-starship-30-a-natural-gaspowered-trucking-revolution" TargetMode="External"/><Relationship Id="rId2" Type="http://schemas.openxmlformats.org/officeDocument/2006/relationships/hyperlink" Target="https://www.eesi.org/files/FactSheet_Vehicle_Emissions_081815.pdf" TargetMode="External"/><Relationship Id="rId1" Type="http://schemas.openxmlformats.org/officeDocument/2006/relationships/hyperlink" Target="https://www.eesi.org/papers/view/fact-sheet-vehicle-efficiency-and-emissions-standards" TargetMode="External"/><Relationship Id="rId6" Type="http://schemas.openxmlformats.org/officeDocument/2006/relationships/hyperlink" Target="https://www.energy350.com/wp-content/uploads/2014/11/MIT-Energy-Conversions.pdf" TargetMode="External"/><Relationship Id="rId11" Type="http://schemas.openxmlformats.org/officeDocument/2006/relationships/hyperlink" Target="https://www.jstor.org/stable/resrep17234.9?seq=5" TargetMode="External"/><Relationship Id="rId5" Type="http://schemas.openxmlformats.org/officeDocument/2006/relationships/hyperlink" Target="https://www.nrel.gov/docs/fy24osti/89761.pdf" TargetMode="External"/><Relationship Id="rId10" Type="http://schemas.openxmlformats.org/officeDocument/2006/relationships/hyperlink" Target="https://theicct.org/wp-content/uploads/2023/02/lca-ghg-emissions-hdv-fuels-europe-feb23.pdf" TargetMode="External"/><Relationship Id="rId4" Type="http://schemas.openxmlformats.org/officeDocument/2006/relationships/hyperlink" Target="https://ammoniaenergy.org/articles/ammonia-for-power-a-literature-review" TargetMode="External"/><Relationship Id="rId9" Type="http://schemas.openxmlformats.org/officeDocument/2006/relationships/hyperlink" Target="https://theicct.org/sites/default/files/publications/ICCT_NG-HDV-emissions-assessmnt_20150730.pdf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ciencedirect.com/science/article/pii/S1361920923001360" TargetMode="External"/><Relationship Id="rId2" Type="http://schemas.openxmlformats.org/officeDocument/2006/relationships/hyperlink" Target="https://escholarship.org/uc/item/3wt0n8tx" TargetMode="External"/><Relationship Id="rId1" Type="http://schemas.openxmlformats.org/officeDocument/2006/relationships/hyperlink" Target="https://www.csx.com/index.cfm/about-us/the-csx-advantage/fuel-efficiency/" TargetMode="External"/><Relationship Id="rId5" Type="http://schemas.openxmlformats.org/officeDocument/2006/relationships/hyperlink" Target="https://railtec.illinois.edu/wp/wp-content/uploads/pdf-archive/UP-Iden-Seminar-2013Feb15.pdf" TargetMode="External"/><Relationship Id="rId4" Type="http://schemas.openxmlformats.org/officeDocument/2006/relationships/hyperlink" Target="https://railroads.dot.gov/sites/fra.dot.gov/files/fra_net/18212/Railroad%20Energy%20Intensity%20and%20Criteria%20Pollutant%20Emissions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E3968-284E-4C4A-A138-6EC27A74AE18}">
  <dimension ref="C2:K44"/>
  <sheetViews>
    <sheetView tabSelected="1" workbookViewId="0">
      <selection activeCell="L20" sqref="L20"/>
    </sheetView>
  </sheetViews>
  <sheetFormatPr defaultRowHeight="15" x14ac:dyDescent="0.25"/>
  <cols>
    <col min="3" max="3" width="26.28515625" customWidth="1"/>
    <col min="4" max="4" width="12.5703125" customWidth="1"/>
    <col min="5" max="5" width="14.42578125" bestFit="1" customWidth="1"/>
    <col min="6" max="6" width="15.5703125" customWidth="1"/>
    <col min="7" max="7" width="15.42578125" bestFit="1" customWidth="1"/>
    <col min="8" max="8" width="12.7109375" bestFit="1" customWidth="1"/>
    <col min="9" max="9" width="11.42578125" bestFit="1" customWidth="1"/>
    <col min="10" max="10" width="11.7109375" bestFit="1" customWidth="1"/>
    <col min="11" max="11" width="8.85546875" bestFit="1" customWidth="1"/>
    <col min="12" max="12" width="92.85546875" customWidth="1"/>
  </cols>
  <sheetData>
    <row r="2" spans="3:11" s="2" customFormat="1" ht="60" x14ac:dyDescent="0.25">
      <c r="C2" s="1"/>
      <c r="D2" s="1" t="s">
        <v>66</v>
      </c>
      <c r="E2" s="1" t="s">
        <v>0</v>
      </c>
      <c r="F2" s="1" t="s">
        <v>1</v>
      </c>
      <c r="G2" s="1" t="s">
        <v>2</v>
      </c>
      <c r="H2" s="1"/>
      <c r="I2" s="50" t="s">
        <v>3</v>
      </c>
    </row>
    <row r="3" spans="3:11" ht="15.75" customHeight="1" x14ac:dyDescent="0.25">
      <c r="C3" s="3" t="s">
        <v>4</v>
      </c>
      <c r="D3" s="4"/>
      <c r="E3" s="5">
        <f>(15.6/1000)*(1/0.26417205)</f>
        <v>5.9052424357535174E-2</v>
      </c>
      <c r="F3" s="6"/>
      <c r="G3" s="6"/>
      <c r="H3" s="3"/>
      <c r="I3" s="8" t="s">
        <v>5</v>
      </c>
    </row>
    <row r="4" spans="3:11" ht="15.75" customHeight="1" x14ac:dyDescent="0.25">
      <c r="C4" s="7" t="s">
        <v>6</v>
      </c>
      <c r="D4" s="9">
        <f>'[1]HD EV'!C62</f>
        <v>9.5000000000000001E-2</v>
      </c>
      <c r="E4" s="10" t="s">
        <v>7</v>
      </c>
      <c r="F4" s="11">
        <v>3412</v>
      </c>
      <c r="G4" s="11">
        <v>3412</v>
      </c>
      <c r="H4" s="7" t="s">
        <v>8</v>
      </c>
    </row>
    <row r="5" spans="3:11" x14ac:dyDescent="0.25">
      <c r="C5" s="7" t="s">
        <v>9</v>
      </c>
      <c r="D5" s="12">
        <f>((0.187+0.15+0.172+0.175)/4)/20</f>
        <v>8.5499999999999986E-3</v>
      </c>
      <c r="E5" s="51">
        <f>[1]Fuels!F39/1000</f>
        <v>0.14169999999999999</v>
      </c>
      <c r="F5" s="14">
        <v>61013</v>
      </c>
      <c r="G5" s="14">
        <v>51585</v>
      </c>
      <c r="H5" s="7" t="s">
        <v>10</v>
      </c>
      <c r="I5" s="8" t="s">
        <v>11</v>
      </c>
    </row>
    <row r="6" spans="3:11" ht="15.75" customHeight="1" x14ac:dyDescent="0.25">
      <c r="C6" s="7" t="s">
        <v>12</v>
      </c>
      <c r="D6" s="12">
        <f>(1/178.4)</f>
        <v>5.6053811659192822E-3</v>
      </c>
      <c r="E6" s="51">
        <f>[1]Fuels!F41/1000</f>
        <v>5.2200000000000003E-2</v>
      </c>
      <c r="F6" s="14">
        <v>23726</v>
      </c>
      <c r="G6" s="14">
        <v>21240</v>
      </c>
      <c r="H6" s="7" t="s">
        <v>10</v>
      </c>
      <c r="I6" s="8" t="s">
        <v>13</v>
      </c>
    </row>
    <row r="7" spans="3:11" x14ac:dyDescent="0.25">
      <c r="C7" s="7" t="s">
        <v>14</v>
      </c>
      <c r="D7" s="12">
        <f>$G$31/1000</f>
        <v>7.5933210000000001E-3</v>
      </c>
      <c r="E7" s="51">
        <f>([1]Fuels!$F$8*[1]Fuels!$D$8)/1000</f>
        <v>0.14601120000000001</v>
      </c>
      <c r="F7" s="14">
        <v>138490</v>
      </c>
      <c r="G7" s="14">
        <v>128488</v>
      </c>
      <c r="H7" s="7" t="s">
        <v>15</v>
      </c>
      <c r="I7" s="8" t="s">
        <v>16</v>
      </c>
    </row>
    <row r="8" spans="3:11" x14ac:dyDescent="0.25">
      <c r="C8" s="7" t="s">
        <v>17</v>
      </c>
      <c r="D8" s="12">
        <f>$G$31/1000</f>
        <v>7.5933210000000001E-3</v>
      </c>
      <c r="E8" s="13">
        <f>([1]Fuels!$F$8*[1]Fuels!$D$8)/1000</f>
        <v>0.14601120000000001</v>
      </c>
      <c r="F8" s="11">
        <v>127960</v>
      </c>
      <c r="G8" s="11">
        <v>119550</v>
      </c>
      <c r="H8" s="7" t="s">
        <v>15</v>
      </c>
      <c r="I8" s="8" t="s">
        <v>18</v>
      </c>
    </row>
    <row r="9" spans="3:11" ht="15.75" customHeight="1" x14ac:dyDescent="0.25">
      <c r="C9" s="7" t="s">
        <v>19</v>
      </c>
      <c r="D9" s="12">
        <f>$G$31/1000</f>
        <v>7.5933210000000001E-3</v>
      </c>
      <c r="E9" s="13">
        <f>([1]Fuels!$F$8*[1]Fuels!$D$8)/1000</f>
        <v>0.14601120000000001</v>
      </c>
      <c r="F9" s="11"/>
      <c r="G9" s="11">
        <v>123710</v>
      </c>
      <c r="H9" s="7" t="s">
        <v>15</v>
      </c>
    </row>
    <row r="10" spans="3:11" x14ac:dyDescent="0.25">
      <c r="C10" s="7" t="s">
        <v>20</v>
      </c>
      <c r="D10" s="12">
        <f>$G$31/1000</f>
        <v>7.5933210000000001E-3</v>
      </c>
      <c r="E10" s="13">
        <f>([1]Fuels!$F$8*[1]Fuels!$D$8)/1000</f>
        <v>0.14601120000000001</v>
      </c>
      <c r="F10" s="11">
        <v>138490</v>
      </c>
      <c r="G10" s="11">
        <v>128488</v>
      </c>
      <c r="H10" s="7" t="s">
        <v>15</v>
      </c>
    </row>
    <row r="11" spans="3:11" x14ac:dyDescent="0.25">
      <c r="C11" s="7" t="s">
        <v>21</v>
      </c>
      <c r="D11" s="12">
        <f>$G$31/1000</f>
        <v>7.5933210000000001E-3</v>
      </c>
      <c r="E11" s="13">
        <f>([1]Fuels!$F$8*[1]Fuels!$D$8)/1000</f>
        <v>0.14601120000000001</v>
      </c>
      <c r="F11" s="11">
        <v>138490</v>
      </c>
      <c r="G11" s="11">
        <v>128488</v>
      </c>
      <c r="H11" s="7" t="s">
        <v>15</v>
      </c>
    </row>
    <row r="12" spans="3:11" x14ac:dyDescent="0.25">
      <c r="C12" s="46"/>
      <c r="D12" s="47"/>
      <c r="E12" s="46"/>
    </row>
    <row r="13" spans="3:11" x14ac:dyDescent="0.25">
      <c r="F13" s="15">
        <v>197</v>
      </c>
      <c r="G13" s="8" t="s">
        <v>22</v>
      </c>
      <c r="J13" s="16"/>
      <c r="K13" s="16"/>
    </row>
    <row r="14" spans="3:11" x14ac:dyDescent="0.25">
      <c r="C14" s="8" t="s">
        <v>23</v>
      </c>
      <c r="F14" s="16">
        <f>D4*[1]Truck_ETL!D20*10^6*F13</f>
        <v>55622851.5</v>
      </c>
      <c r="G14" s="8" t="s">
        <v>24</v>
      </c>
    </row>
    <row r="15" spans="3:11" x14ac:dyDescent="0.25">
      <c r="C15" s="8" t="s">
        <v>25</v>
      </c>
    </row>
    <row r="16" spans="3:11" x14ac:dyDescent="0.25">
      <c r="C16" s="8" t="s">
        <v>26</v>
      </c>
    </row>
    <row r="17" spans="3:9" ht="15.75" thickBot="1" x14ac:dyDescent="0.3"/>
    <row r="18" spans="3:9" ht="32.25" customHeight="1" x14ac:dyDescent="0.25">
      <c r="C18" s="17" t="s">
        <v>27</v>
      </c>
      <c r="D18" s="18" t="s">
        <v>28</v>
      </c>
      <c r="E18" s="18"/>
      <c r="F18" s="18"/>
      <c r="G18" s="18" t="s">
        <v>29</v>
      </c>
      <c r="H18" s="18"/>
      <c r="I18" s="19"/>
    </row>
    <row r="19" spans="3:9" x14ac:dyDescent="0.25">
      <c r="C19" s="20"/>
      <c r="D19" s="21" t="s">
        <v>30</v>
      </c>
      <c r="E19" s="21"/>
      <c r="F19" s="21"/>
      <c r="G19" s="21" t="s">
        <v>31</v>
      </c>
      <c r="H19" s="21"/>
      <c r="I19" s="22"/>
    </row>
    <row r="20" spans="3:9" x14ac:dyDescent="0.25">
      <c r="C20" s="20"/>
      <c r="D20" s="23" t="s">
        <v>32</v>
      </c>
      <c r="E20" s="23" t="s">
        <v>33</v>
      </c>
      <c r="F20" s="23" t="s">
        <v>34</v>
      </c>
      <c r="G20" s="23" t="s">
        <v>32</v>
      </c>
      <c r="H20" s="23" t="s">
        <v>33</v>
      </c>
      <c r="I20" s="24" t="s">
        <v>34</v>
      </c>
    </row>
    <row r="21" spans="3:9" x14ac:dyDescent="0.25">
      <c r="C21" s="25" t="s">
        <v>35</v>
      </c>
      <c r="D21" s="26"/>
      <c r="E21" s="26"/>
      <c r="F21" s="26"/>
      <c r="G21" s="26"/>
      <c r="H21" s="26"/>
      <c r="I21" s="27"/>
    </row>
    <row r="22" spans="3:9" x14ac:dyDescent="0.25">
      <c r="C22" s="28" t="s">
        <v>36</v>
      </c>
      <c r="D22" s="29">
        <v>104</v>
      </c>
      <c r="E22" s="29">
        <v>115</v>
      </c>
      <c r="F22" s="29">
        <v>120</v>
      </c>
      <c r="G22" s="29">
        <v>10.199999999999999</v>
      </c>
      <c r="H22" s="29">
        <v>11.3</v>
      </c>
      <c r="I22" s="30">
        <v>11.8</v>
      </c>
    </row>
    <row r="23" spans="3:9" x14ac:dyDescent="0.25">
      <c r="C23" s="28" t="s">
        <v>37</v>
      </c>
      <c r="D23" s="29">
        <v>80</v>
      </c>
      <c r="E23" s="29">
        <v>86</v>
      </c>
      <c r="F23" s="29">
        <v>89</v>
      </c>
      <c r="G23" s="29">
        <v>7.8</v>
      </c>
      <c r="H23" s="29">
        <v>8.4</v>
      </c>
      <c r="I23" s="30">
        <v>8.6999999999999993</v>
      </c>
    </row>
    <row r="24" spans="3:9" x14ac:dyDescent="0.25">
      <c r="C24" s="28" t="s">
        <v>38</v>
      </c>
      <c r="D24" s="29">
        <v>66</v>
      </c>
      <c r="E24" s="29">
        <v>73</v>
      </c>
      <c r="F24" s="29">
        <v>72</v>
      </c>
      <c r="G24" s="29">
        <v>6.5</v>
      </c>
      <c r="H24" s="29">
        <v>7.2</v>
      </c>
      <c r="I24" s="30">
        <v>7.1</v>
      </c>
    </row>
    <row r="25" spans="3:9" ht="15.75" x14ac:dyDescent="0.25">
      <c r="C25" s="31" t="s">
        <v>39</v>
      </c>
      <c r="D25" s="32">
        <f>AVERAGE(D22:F24)</f>
        <v>89.444444444444443</v>
      </c>
      <c r="E25" s="33"/>
      <c r="F25" s="34"/>
      <c r="G25" s="32">
        <f>AVERAGE(G22:I24)</f>
        <v>8.7777777777777768</v>
      </c>
      <c r="H25" s="33"/>
      <c r="I25" s="35"/>
    </row>
    <row r="26" spans="3:9" x14ac:dyDescent="0.25">
      <c r="C26" s="25" t="s">
        <v>40</v>
      </c>
      <c r="D26" s="26"/>
      <c r="E26" s="26"/>
      <c r="F26" s="26"/>
      <c r="G26" s="26"/>
      <c r="H26" s="26"/>
      <c r="I26" s="27"/>
    </row>
    <row r="27" spans="3:9" x14ac:dyDescent="0.25">
      <c r="C27" s="28" t="s">
        <v>36</v>
      </c>
      <c r="D27" s="29">
        <v>96.2</v>
      </c>
      <c r="E27" s="29">
        <v>103.4</v>
      </c>
      <c r="F27" s="29">
        <v>100</v>
      </c>
      <c r="G27" s="29">
        <v>9.4498999999999995</v>
      </c>
      <c r="H27" s="29">
        <v>10.157170000000001</v>
      </c>
      <c r="I27" s="30">
        <v>9.8231800000000007</v>
      </c>
    </row>
    <row r="28" spans="3:9" x14ac:dyDescent="0.25">
      <c r="C28" s="28" t="s">
        <v>37</v>
      </c>
      <c r="D28" s="29">
        <v>73.400000000000006</v>
      </c>
      <c r="E28" s="29">
        <v>78</v>
      </c>
      <c r="F28" s="29">
        <v>75.7</v>
      </c>
      <c r="G28" s="29">
        <v>7.2102199999999996</v>
      </c>
      <c r="H28" s="29">
        <v>7.6620799999999996</v>
      </c>
      <c r="I28" s="30">
        <v>7.4361499999999996</v>
      </c>
    </row>
    <row r="29" spans="3:9" x14ac:dyDescent="0.25">
      <c r="C29" s="28" t="s">
        <v>38</v>
      </c>
      <c r="D29" s="29">
        <v>64.099999999999994</v>
      </c>
      <c r="E29" s="29">
        <v>69.599999999999994</v>
      </c>
      <c r="F29" s="29">
        <v>64.3</v>
      </c>
      <c r="G29" s="29">
        <v>6.2966600000000001</v>
      </c>
      <c r="H29" s="29">
        <v>6.8369400000000002</v>
      </c>
      <c r="I29" s="30">
        <v>6.3163099999999996</v>
      </c>
    </row>
    <row r="30" spans="3:9" x14ac:dyDescent="0.25">
      <c r="C30" s="28" t="s">
        <v>41</v>
      </c>
      <c r="D30" s="29">
        <v>48.3</v>
      </c>
      <c r="E30" s="29"/>
      <c r="F30" s="29"/>
      <c r="G30" s="29">
        <v>4.7446000000000002</v>
      </c>
      <c r="H30" s="29"/>
      <c r="I30" s="30"/>
    </row>
    <row r="31" spans="3:9" ht="15.75" x14ac:dyDescent="0.25">
      <c r="C31" s="31" t="s">
        <v>42</v>
      </c>
      <c r="D31" s="32">
        <f>AVERAGE(D27:F30)</f>
        <v>77.3</v>
      </c>
      <c r="E31" s="33"/>
      <c r="F31" s="34"/>
      <c r="G31" s="32">
        <f>AVERAGE(G27:I30)</f>
        <v>7.5933210000000004</v>
      </c>
      <c r="H31" s="33"/>
      <c r="I31" s="35"/>
    </row>
    <row r="32" spans="3:9" x14ac:dyDescent="0.25">
      <c r="C32" s="25" t="s">
        <v>43</v>
      </c>
      <c r="D32" s="26"/>
      <c r="E32" s="26"/>
      <c r="F32" s="26"/>
      <c r="G32" s="26"/>
      <c r="H32" s="26"/>
      <c r="I32" s="27"/>
    </row>
    <row r="33" spans="3:9" x14ac:dyDescent="0.25">
      <c r="C33" s="28" t="s">
        <v>36</v>
      </c>
      <c r="D33" s="29">
        <v>57.7</v>
      </c>
      <c r="E33" s="29">
        <v>62</v>
      </c>
      <c r="F33" s="29">
        <v>60</v>
      </c>
      <c r="G33" s="29"/>
      <c r="H33" s="29"/>
      <c r="I33" s="30"/>
    </row>
    <row r="34" spans="3:9" x14ac:dyDescent="0.25">
      <c r="C34" s="28" t="s">
        <v>37</v>
      </c>
      <c r="D34" s="29">
        <v>44</v>
      </c>
      <c r="E34" s="29">
        <v>46.8</v>
      </c>
      <c r="F34" s="29">
        <v>45.4</v>
      </c>
      <c r="G34" s="29"/>
      <c r="H34" s="29"/>
      <c r="I34" s="30"/>
    </row>
    <row r="35" spans="3:9" x14ac:dyDescent="0.25">
      <c r="C35" s="28" t="s">
        <v>38</v>
      </c>
      <c r="D35" s="29">
        <v>48.1</v>
      </c>
      <c r="E35" s="29">
        <v>52.2</v>
      </c>
      <c r="F35" s="29">
        <v>48.2</v>
      </c>
      <c r="G35" s="29"/>
      <c r="H35" s="29"/>
      <c r="I35" s="30"/>
    </row>
    <row r="36" spans="3:9" ht="16.5" thickBot="1" x14ac:dyDescent="0.3">
      <c r="C36" s="36" t="s">
        <v>44</v>
      </c>
      <c r="D36" s="37">
        <f>AVERAGE(D33:F35)</f>
        <v>51.599999999999994</v>
      </c>
      <c r="E36" s="38"/>
      <c r="F36" s="39"/>
      <c r="G36" s="40"/>
      <c r="H36" s="40"/>
      <c r="I36" s="41"/>
    </row>
    <row r="41" spans="3:9" x14ac:dyDescent="0.25">
      <c r="D41">
        <f>135</f>
        <v>135</v>
      </c>
      <c r="E41" t="s">
        <v>45</v>
      </c>
      <c r="G41">
        <f>D31/1000</f>
        <v>7.7299999999999994E-2</v>
      </c>
    </row>
    <row r="42" spans="3:9" x14ac:dyDescent="0.25">
      <c r="D42">
        <v>3.6</v>
      </c>
      <c r="E42" t="s">
        <v>46</v>
      </c>
    </row>
    <row r="43" spans="3:9" x14ac:dyDescent="0.25">
      <c r="D43">
        <f>D41/D42</f>
        <v>37.5</v>
      </c>
      <c r="E43" t="s">
        <v>47</v>
      </c>
    </row>
    <row r="44" spans="3:9" x14ac:dyDescent="0.25">
      <c r="D44">
        <f>D7*D43</f>
        <v>0.28474953749999998</v>
      </c>
    </row>
  </sheetData>
  <mergeCells count="13">
    <mergeCell ref="D36:F36"/>
    <mergeCell ref="D25:F25"/>
    <mergeCell ref="G25:I25"/>
    <mergeCell ref="C26:I26"/>
    <mergeCell ref="D31:F31"/>
    <mergeCell ref="G31:I31"/>
    <mergeCell ref="C32:I32"/>
    <mergeCell ref="C18:C20"/>
    <mergeCell ref="D18:F18"/>
    <mergeCell ref="G18:I18"/>
    <mergeCell ref="D19:F19"/>
    <mergeCell ref="G19:I19"/>
    <mergeCell ref="C21:I21"/>
  </mergeCells>
  <hyperlinks>
    <hyperlink ref="C14" r:id="rId1" display="https://www.eesi.org/papers/view/fact-sheet-vehicle-efficiency-and-emissions-standards" xr:uid="{AC38B944-FE5E-40CE-AA56-3D8E7F45DB93}"/>
    <hyperlink ref="C15" r:id="rId2" display="https://www.eesi.org/files/FactSheet_Vehicle_Emissions_081815.pdf" xr:uid="{4D0D820A-741A-4E03-BBFE-E961217BD46F}"/>
    <hyperlink ref="C16" r:id="rId3" display="https://dieselnet.com/standards/us/fe_hd.php" xr:uid="{BD2B16A5-F6A3-483A-99AB-50B8BEC6362E}"/>
    <hyperlink ref="I3" r:id="rId4" xr:uid="{E4A940EB-8CCC-4747-9854-145673C98D83}"/>
    <hyperlink ref="I5" r:id="rId5" xr:uid="{8DF57AF9-EABB-4B1E-A154-9DC234762357}"/>
    <hyperlink ref="I2" r:id="rId6" xr:uid="{DA679E1F-EC87-4532-948D-F264D708858A}"/>
    <hyperlink ref="I6" r:id="rId7" display="https://www.ccjdigital.com/test-drives/article/15706446/shell-starship-30-a-natural-gaspowered-trucking-revolution" xr:uid="{6D0C5957-AEE5-4A10-8ABB-31F66E80EAD3}"/>
    <hyperlink ref="I7" r:id="rId8" tooltip="DOI URL" xr:uid="{E52F3BC3-27DF-4CF0-8655-2832190CBAAF}"/>
    <hyperlink ref="I8" r:id="rId9" xr:uid="{2ACE64CF-73F1-485C-AB3F-3CAF4349FD12}"/>
    <hyperlink ref="G13" r:id="rId10" xr:uid="{AA117760-C8BA-4EAE-B245-9CF95FB579DB}"/>
    <hyperlink ref="G14" r:id="rId11" xr:uid="{EEF820F0-AD50-4A15-8522-4BFDAA11CB6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CFA5FC-FBDC-4B11-A5A9-65433C1526AD}">
  <dimension ref="C3:J15"/>
  <sheetViews>
    <sheetView workbookViewId="0">
      <selection activeCell="I29" sqref="I29"/>
    </sheetView>
  </sheetViews>
  <sheetFormatPr defaultRowHeight="15" x14ac:dyDescent="0.25"/>
  <cols>
    <col min="3" max="3" width="30.7109375" bestFit="1" customWidth="1"/>
    <col min="4" max="4" width="10.5703125" customWidth="1"/>
    <col min="5" max="5" width="9.140625" style="44"/>
    <col min="7" max="8" width="11.7109375" bestFit="1" customWidth="1"/>
    <col min="9" max="9" width="8.85546875" bestFit="1" customWidth="1"/>
  </cols>
  <sheetData>
    <row r="3" spans="3:10" ht="90" x14ac:dyDescent="0.25">
      <c r="C3" s="1"/>
      <c r="D3" s="1" t="s">
        <v>48</v>
      </c>
      <c r="E3" s="42" t="s">
        <v>67</v>
      </c>
      <c r="F3" s="1" t="s">
        <v>0</v>
      </c>
      <c r="G3" s="1" t="s">
        <v>1</v>
      </c>
      <c r="H3" s="1" t="s">
        <v>2</v>
      </c>
      <c r="I3" s="1"/>
    </row>
    <row r="4" spans="3:10" x14ac:dyDescent="0.25">
      <c r="C4" s="1"/>
      <c r="D4" s="1"/>
      <c r="E4" s="43"/>
      <c r="F4" s="48"/>
      <c r="G4" s="49"/>
      <c r="H4" s="49"/>
      <c r="I4" s="3"/>
    </row>
    <row r="5" spans="3:10" x14ac:dyDescent="0.25">
      <c r="C5" s="7" t="s">
        <v>49</v>
      </c>
      <c r="D5" s="48">
        <v>0.32</v>
      </c>
      <c r="E5" s="45">
        <f>(D5/$D$14)*$E$14</f>
        <v>1.5151515151515152E-3</v>
      </c>
      <c r="F5" s="48"/>
      <c r="G5" s="48"/>
      <c r="H5" s="48"/>
      <c r="I5" s="7"/>
      <c r="J5" s="8" t="s">
        <v>50</v>
      </c>
    </row>
    <row r="6" spans="3:10" x14ac:dyDescent="0.25">
      <c r="C6" s="7" t="s">
        <v>51</v>
      </c>
      <c r="D6" s="48">
        <v>0.39</v>
      </c>
      <c r="E6" s="45">
        <f>(D6/$D$14)*$E$14</f>
        <v>1.8465909090909091E-3</v>
      </c>
      <c r="F6" s="48"/>
      <c r="G6" s="48"/>
      <c r="H6" s="48"/>
      <c r="I6" s="7"/>
      <c r="J6" t="s">
        <v>52</v>
      </c>
    </row>
    <row r="7" spans="3:10" x14ac:dyDescent="0.25">
      <c r="C7" s="7" t="s">
        <v>53</v>
      </c>
      <c r="D7" s="48"/>
      <c r="E7" s="45">
        <f>1/'[1]Train Energy Intensity'!D14</f>
        <v>3.8299502106472615E-2</v>
      </c>
      <c r="F7" s="48">
        <v>3.5999999999999999E-3</v>
      </c>
      <c r="G7" s="14">
        <v>3412</v>
      </c>
      <c r="H7" s="14">
        <v>3412</v>
      </c>
      <c r="I7" s="7" t="s">
        <v>8</v>
      </c>
      <c r="J7" s="8" t="s">
        <v>54</v>
      </c>
    </row>
    <row r="8" spans="3:10" x14ac:dyDescent="0.25">
      <c r="C8" s="7" t="s">
        <v>55</v>
      </c>
      <c r="D8" s="48">
        <v>0.4</v>
      </c>
      <c r="E8" s="45">
        <f>(D8/$D$14)*$E$14</f>
        <v>1.893939393939394E-3</v>
      </c>
      <c r="F8" s="7">
        <v>0.14169999999999999</v>
      </c>
      <c r="G8" s="11">
        <v>61013</v>
      </c>
      <c r="H8" s="11">
        <v>51585</v>
      </c>
      <c r="I8" s="7" t="s">
        <v>10</v>
      </c>
      <c r="J8" s="8"/>
    </row>
    <row r="9" spans="3:10" x14ac:dyDescent="0.25">
      <c r="C9" s="7" t="s">
        <v>56</v>
      </c>
      <c r="D9" s="48">
        <v>0.52</v>
      </c>
      <c r="E9" s="45">
        <f>(D9/$D$14)*$E$14</f>
        <v>2.4621212121212124E-3</v>
      </c>
      <c r="F9" s="7">
        <v>0.14169999999999999</v>
      </c>
      <c r="G9" s="11">
        <v>61013</v>
      </c>
      <c r="H9" s="11">
        <v>51585</v>
      </c>
      <c r="I9" s="7" t="s">
        <v>10</v>
      </c>
    </row>
    <row r="10" spans="3:10" x14ac:dyDescent="0.25">
      <c r="C10" s="7" t="s">
        <v>57</v>
      </c>
      <c r="D10" s="48"/>
      <c r="E10" s="45">
        <f>E14/1.75</f>
        <v>1.0822510822510823E-3</v>
      </c>
      <c r="F10" s="7">
        <v>5.2200000000000003E-2</v>
      </c>
      <c r="G10" s="11">
        <v>23726</v>
      </c>
      <c r="H10" s="11">
        <v>21240</v>
      </c>
      <c r="I10" s="7" t="s">
        <v>10</v>
      </c>
      <c r="J10" s="8" t="s">
        <v>58</v>
      </c>
    </row>
    <row r="11" spans="3:10" x14ac:dyDescent="0.25">
      <c r="C11" s="7" t="s">
        <v>59</v>
      </c>
      <c r="D11" s="7"/>
      <c r="E11" s="45">
        <f>$E$14*(H11/$H$14)</f>
        <v>1.893939393939394E-3</v>
      </c>
      <c r="F11" s="13">
        <f>([1]Fuels!$F$8*[1]Fuels!$D$8)/1000</f>
        <v>0.14601120000000001</v>
      </c>
      <c r="G11" s="14">
        <v>138490</v>
      </c>
      <c r="H11" s="14">
        <v>128488</v>
      </c>
      <c r="I11" s="7" t="s">
        <v>15</v>
      </c>
      <c r="J11" s="8" t="s">
        <v>60</v>
      </c>
    </row>
    <row r="12" spans="3:10" x14ac:dyDescent="0.25">
      <c r="C12" s="7" t="s">
        <v>61</v>
      </c>
      <c r="D12" s="7"/>
      <c r="E12" s="45">
        <f>1/'[1]Train Energy Intensity'!G14</f>
        <v>2.3645133831457486E-3</v>
      </c>
      <c r="F12" s="13">
        <f>([1]Fuels!$F$8*[1]Fuels!$D$8)/1000</f>
        <v>0.14601120000000001</v>
      </c>
      <c r="G12" s="11">
        <v>127960</v>
      </c>
      <c r="H12" s="11">
        <v>119550</v>
      </c>
      <c r="I12" s="7" t="s">
        <v>15</v>
      </c>
    </row>
    <row r="13" spans="3:10" x14ac:dyDescent="0.25">
      <c r="C13" s="7" t="s">
        <v>62</v>
      </c>
      <c r="D13" s="7"/>
      <c r="E13" s="45">
        <f>$E$14*(H13/$H$14)</f>
        <v>1.8235106969074343E-3</v>
      </c>
      <c r="F13" s="13">
        <f>([1]Fuels!$F$8*[1]Fuels!$D$8)/1000</f>
        <v>0.14601120000000001</v>
      </c>
      <c r="G13" s="11"/>
      <c r="H13" s="11">
        <v>123710</v>
      </c>
      <c r="I13" s="7" t="s">
        <v>15</v>
      </c>
    </row>
    <row r="14" spans="3:10" x14ac:dyDescent="0.25">
      <c r="C14" s="7" t="s">
        <v>63</v>
      </c>
      <c r="D14" s="7">
        <v>0.4</v>
      </c>
      <c r="E14" s="45">
        <f>1/528</f>
        <v>1.893939393939394E-3</v>
      </c>
      <c r="F14" s="13">
        <f>([1]Fuels!$F$8*[1]Fuels!$D$8)/1000</f>
        <v>0.14601120000000001</v>
      </c>
      <c r="G14" s="11">
        <v>138490</v>
      </c>
      <c r="H14" s="11">
        <v>128488</v>
      </c>
      <c r="I14" s="7" t="s">
        <v>15</v>
      </c>
      <c r="J14" s="8" t="s">
        <v>64</v>
      </c>
    </row>
    <row r="15" spans="3:10" x14ac:dyDescent="0.25">
      <c r="C15" s="7" t="s">
        <v>65</v>
      </c>
      <c r="D15" s="7"/>
      <c r="E15" s="45">
        <f>$E$14*(H15/$H$14)</f>
        <v>1.893939393939394E-3</v>
      </c>
      <c r="F15" s="13">
        <f>([1]Fuels!$F$8*[1]Fuels!$D$8)/1000</f>
        <v>0.14601120000000001</v>
      </c>
      <c r="G15" s="11">
        <v>138490</v>
      </c>
      <c r="H15" s="11">
        <v>128488</v>
      </c>
      <c r="I15" s="7" t="s">
        <v>15</v>
      </c>
    </row>
  </sheetData>
  <hyperlinks>
    <hyperlink ref="J14" r:id="rId1" xr:uid="{BA4E3153-4B4B-4313-8A82-AB2149A8F09E}"/>
    <hyperlink ref="J5" r:id="rId2" display="https://escholarship.org/uc/item/3wt0n8tx" xr:uid="{BE6F68F6-CEB4-46C1-91E1-A7E84FCBEEAC}"/>
    <hyperlink ref="J7" r:id="rId3" xr:uid="{475FCA7D-0CC0-4290-81A6-3E16F47237B9}"/>
    <hyperlink ref="J10" r:id="rId4" xr:uid="{B6523EB0-FA1A-4AB6-8CBA-D4CE86A380AB}"/>
    <hyperlink ref="J11" r:id="rId5" xr:uid="{C0439C8C-134E-4EF3-B274-F255112FE74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Truck Fuel and Emissions</vt:lpstr>
      <vt:lpstr>Train Fuel and Emissions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Willette</dc:creator>
  <cp:lastModifiedBy>Peter Willette</cp:lastModifiedBy>
  <dcterms:created xsi:type="dcterms:W3CDTF">2025-09-02T19:56:45Z</dcterms:created>
  <dcterms:modified xsi:type="dcterms:W3CDTF">2025-09-02T20:02:39Z</dcterms:modified>
</cp:coreProperties>
</file>